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86" windowWidth="15570" windowHeight="11010" activeTab="0"/>
  </bookViews>
  <sheets>
    <sheet name="расходы 2018" sheetId="1" r:id="rId1"/>
    <sheet name="расходы 2019" sheetId="2" r:id="rId2"/>
    <sheet name="расходы2020" sheetId="3" r:id="rId3"/>
    <sheet name="автономные" sheetId="4" r:id="rId4"/>
    <sheet name="на закупку" sheetId="5" r:id="rId5"/>
    <sheet name="временные" sheetId="6" r:id="rId6"/>
    <sheet name="зарплата бюджет 2018" sheetId="7" r:id="rId7"/>
    <sheet name="страховые взносы бюджет 2018" sheetId="8" r:id="rId8"/>
    <sheet name="зарплата бюджет 2019" sheetId="9" r:id="rId9"/>
    <sheet name="страховые взносы бюджет 2019" sheetId="10" r:id="rId10"/>
    <sheet name="зарплата бюджет 2020" sheetId="11" r:id="rId11"/>
    <sheet name="страховые взносы бюджет 2020" sheetId="12" r:id="rId12"/>
    <sheet name="зарплата внебюджет 2018" sheetId="13" r:id="rId13"/>
    <sheet name="страховые взносы внебюджет 2018" sheetId="14" r:id="rId14"/>
    <sheet name="зарплата внебюджет 2019" sheetId="15" r:id="rId15"/>
    <sheet name="страховые взносы внебюджет 2019" sheetId="16" r:id="rId16"/>
    <sheet name="зарплата внебюджет 2020" sheetId="17" r:id="rId17"/>
    <sheet name="страховые взносы внебюджет 2020" sheetId="18" r:id="rId18"/>
  </sheets>
  <definedNames>
    <definedName name="sub_11100" localSheetId="3">'автономные'!$A$29</definedName>
    <definedName name="sub_11100" localSheetId="0">'расходы 2018'!#REF!</definedName>
    <definedName name="sub_11101" localSheetId="3">'автономные'!$A$30</definedName>
    <definedName name="sub_11101" localSheetId="0">'расходы 2018'!#REF!</definedName>
    <definedName name="sub_11102" localSheetId="3">'автономные'!$A$31</definedName>
    <definedName name="sub_11102" localSheetId="0">'расходы 2018'!#REF!</definedName>
    <definedName name="sub_11103" localSheetId="3">'автономные'!#REF!</definedName>
    <definedName name="sub_11103" localSheetId="0">'расходы 2018'!#REF!</definedName>
    <definedName name="sub_11200" localSheetId="3">'автономные'!$A$36</definedName>
    <definedName name="sub_11200" localSheetId="0">'расходы 2018'!#REF!</definedName>
    <definedName name="sub_11201" localSheetId="3">'автономные'!$C$39</definedName>
    <definedName name="sub_11201" localSheetId="0">'расходы 2018'!#REF!</definedName>
    <definedName name="sub_11202" localSheetId="3">'автономные'!$C$60</definedName>
    <definedName name="sub_11202" localSheetId="0">'расходы 2018'!#REF!</definedName>
    <definedName name="sub_11203" localSheetId="3">'автономные'!#REF!</definedName>
    <definedName name="sub_11203" localSheetId="0">'расходы 2018'!$A$3</definedName>
    <definedName name="sub_11211" localSheetId="3">'автономные'!$C$41</definedName>
    <definedName name="sub_11211" localSheetId="0">'расходы 2018'!#REF!</definedName>
    <definedName name="sub_112111" localSheetId="3">'автономные'!#REF!</definedName>
    <definedName name="sub_112111" localSheetId="0">'расходы 2018'!#REF!</definedName>
    <definedName name="sub_112112" localSheetId="3">'автономные'!#REF!</definedName>
    <definedName name="sub_112112" localSheetId="0">'расходы 2018'!#REF!</definedName>
    <definedName name="sub_112113" localSheetId="3">'автономные'!#REF!</definedName>
    <definedName name="sub_112113" localSheetId="0">'расходы 2018'!#REF!</definedName>
    <definedName name="sub_112114" localSheetId="3">'автономные'!#REF!</definedName>
    <definedName name="sub_112114" localSheetId="0">'расходы 2018'!#REF!</definedName>
    <definedName name="sub_11212" localSheetId="3">'автономные'!#REF!</definedName>
    <definedName name="sub_11212" localSheetId="0">'расходы 2018'!#REF!</definedName>
    <definedName name="sub_112121" localSheetId="3">'автономные'!$C$58</definedName>
    <definedName name="sub_112121" localSheetId="0">'расходы 2018'!#REF!</definedName>
    <definedName name="sub_112122" localSheetId="3">'автономные'!$C$59</definedName>
    <definedName name="sub_112122" localSheetId="0">'расходы 2018'!#REF!</definedName>
    <definedName name="sub_11221" localSheetId="3">'автономные'!$C$62</definedName>
    <definedName name="sub_11221" localSheetId="0">'расходы 2018'!#REF!</definedName>
    <definedName name="sub_11222" localSheetId="3">'автономные'!$C$63</definedName>
    <definedName name="sub_11222" localSheetId="0">'расходы 2018'!$A$1</definedName>
    <definedName name="sub_11231" localSheetId="3">'автономные'!#REF!</definedName>
    <definedName name="sub_11231" localSheetId="0">'расходы 2018'!#REF!</definedName>
    <definedName name="sub_11232" localSheetId="3">'автономные'!#REF!</definedName>
    <definedName name="sub_11232" localSheetId="0">'расходы 2018'!$A$4</definedName>
    <definedName name="sub_11233" localSheetId="3">'автономные'!#REF!</definedName>
    <definedName name="sub_11233" localSheetId="0">'расходы 2018'!$A$7</definedName>
  </definedNames>
  <calcPr fullCalcOnLoad="1"/>
</workbook>
</file>

<file path=xl/sharedStrings.xml><?xml version="1.0" encoding="utf-8"?>
<sst xmlns="http://schemas.openxmlformats.org/spreadsheetml/2006/main" count="1143" uniqueCount="336">
  <si>
    <t xml:space="preserve">                                  м.п.                                 "____"____________________   200__год</t>
  </si>
  <si>
    <t>Единица измерения: руб.</t>
  </si>
  <si>
    <t>ВСЕГО</t>
  </si>
  <si>
    <t>ПЛАН ФИНАНСОВО-ХОЗЯЙСТВЕННОЙ ДЕЯТЕЛЬНОСТИ</t>
  </si>
  <si>
    <t>Наименование показателя</t>
  </si>
  <si>
    <t>1. Нефинансовые активы, всего</t>
  </si>
  <si>
    <t>из них:</t>
  </si>
  <si>
    <t>в том числе: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</si>
  <si>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</si>
  <si>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</si>
  <si>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</si>
  <si>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III. Обязательства, всего</t>
  </si>
  <si>
    <t>Прочие выплаты</t>
  </si>
  <si>
    <t>Начисления на выплаты по оплате труда</t>
  </si>
  <si>
    <t>Безвозмездные перечисления организациям, всего</t>
  </si>
  <si>
    <t>Утверждаю:</t>
  </si>
  <si>
    <t>(дата утверждения)</t>
  </si>
  <si>
    <t>Наименование органа, осуществляющего ____________________</t>
  </si>
  <si>
    <t>Сумма               в  руб.</t>
  </si>
  <si>
    <t>в том числе  :</t>
  </si>
  <si>
    <t>КОДЫ</t>
  </si>
  <si>
    <t>Дата</t>
  </si>
  <si>
    <t>по ОКПО</t>
  </si>
  <si>
    <t>по ОКЕИ</t>
  </si>
  <si>
    <t>I. Сведения о деятельности государственного  бюджетного учреждения (далее учреждение)</t>
  </si>
  <si>
    <t>(подпись)                                                          (расшифровка подписи)</t>
  </si>
  <si>
    <t>ИТОГО</t>
  </si>
  <si>
    <t>функции и полномочия учредителя:__Министерство социального развития Саратовской области</t>
  </si>
  <si>
    <t>Идентификационный номер налогоплатильщика (ИНН)_______6445012869_____________________</t>
  </si>
  <si>
    <t>Код причины постановки на учет (КПП)_______644501001________________________________</t>
  </si>
  <si>
    <t>Директор автономного учреждения</t>
  </si>
  <si>
    <t>Организация быта</t>
  </si>
  <si>
    <t>Услуги по организации питания</t>
  </si>
  <si>
    <t xml:space="preserve">1. </t>
  </si>
  <si>
    <t>В течение года могут быть внесены изменения в план финансово-хозяйственной деятельности по доходам и расходам учреждения.</t>
  </si>
  <si>
    <t>Субсидия на компенсацию затрат и административные расходы для осуществления переданных полномочий РФ (обеспечение инвалидов техническими средствами реабилитации)-83200,00 руб.</t>
  </si>
  <si>
    <t>Государственная программа Саратовской области "Социальная поддержка и социальное обслуживание граждан до 2020 года" (доставка детей к месту отдыха и обратно) -60000,00 руб.</t>
  </si>
  <si>
    <t>Государственная программа Саратовской области "Социальная поддержка и социальное обслуживание граждан до 2020 года" (летняя досуговая группа) -500535,00 руб.</t>
  </si>
  <si>
    <t>Код строки</t>
  </si>
  <si>
    <t>Код по бюджетной классификации Россйской Федерации</t>
  </si>
  <si>
    <t>Классификация расходов контрактной системы КРКС</t>
  </si>
  <si>
    <t>Субсидия на финансовое обеспечение выполнения государственног задания из областного бюджета, субъекта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</si>
  <si>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</si>
  <si>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</si>
  <si>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приносящей доход деятельности</t>
  </si>
  <si>
    <t>Всего                                           из них</t>
  </si>
  <si>
    <t>от оплаты за оказанные гарантированные услуги</t>
  </si>
  <si>
    <t>от оплаты за оказанные дополнительные услуги</t>
  </si>
  <si>
    <t>от грантов</t>
  </si>
  <si>
    <t>9.1</t>
  </si>
  <si>
    <t>9.2</t>
  </si>
  <si>
    <t>9.3</t>
  </si>
  <si>
    <t>Поступления от доходов, всего:</t>
  </si>
  <si>
    <t>доходы от собственности</t>
  </si>
  <si>
    <t>из них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</si>
  <si>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</si>
  <si>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</si>
  <si>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</si>
  <si>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судсидии, предоставленные из бюджета</t>
  </si>
  <si>
    <t>прочие доходы</t>
  </si>
  <si>
    <t>доходы от операций с активами</t>
  </si>
  <si>
    <t>в том числе</t>
  </si>
  <si>
    <t>х</t>
  </si>
  <si>
    <t>Выплаты по расходам, всего:</t>
  </si>
  <si>
    <t>на выплаты персоналу всего</t>
  </si>
  <si>
    <t>оплата труда и начисления на выплаты по оплате труда</t>
  </si>
  <si>
    <t>заработная плата</t>
  </si>
  <si>
    <t>социальные и иные выплаты населению, всего</t>
  </si>
  <si>
    <t>уплата нологов, сборов и иных платежей, всего</t>
  </si>
  <si>
    <t>уплату налогов, сборов и иных платежей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</si>
  <si>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</si>
  <si>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</si>
  <si>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</si>
  <si>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</si>
  <si>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</si>
  <si>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пользоване имуществом</t>
  </si>
  <si>
    <t>работы, услуги по содержанию имущества</t>
  </si>
  <si>
    <t>Поступления финансовых активов, всего</t>
  </si>
  <si>
    <t>увеличение остатков средств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</si>
  <si>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</si>
  <si>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</si>
  <si>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</si>
  <si>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</si>
  <si>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</si>
  <si>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Приложение 1</t>
  </si>
  <si>
    <t>к Порядку составления и утверждения плана финансово-хозяйственной деятельности государственных бюджетных и автономных учреждений, находящихся в ведении министерства социального развития Саратовской области утвержденный приказом Министерства социального развития Саратовской области</t>
  </si>
  <si>
    <t xml:space="preserve">от "     "                           2017г.  № </t>
  </si>
  <si>
    <t>НА    2018  г. и плановый период  2019-2020 гг.</t>
  </si>
  <si>
    <t>Форма по КФД</t>
  </si>
  <si>
    <t>Дата предыдущего утвержденного плана</t>
  </si>
  <si>
    <t>Адрес фактического местонахождения учреждения (подразделения): 413720, Саратовская область, г.Пугачев, ул.Оренбургская,д.213/3</t>
  </si>
  <si>
    <t>Глава по БК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</si>
  <si>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 и на одинаковых при оказании однородных услуг условиях в порядке, установленном законодательством Российской Федерации:</t>
  </si>
  <si>
    <t>1. Деятельность по чистке и уборке жилых зданий и нежилых помещений прочая</t>
  </si>
  <si>
    <t>2. Деятельность сельскохозяйственная после сбора урожая</t>
  </si>
  <si>
    <t>3. Стирка и химчистка текстильных и меховых изделий</t>
  </si>
  <si>
    <t>4. Деятельность по чистке и уборке прочая</t>
  </si>
  <si>
    <t>5. Деятельность по чистке и уборке прочая, не включенная в другие группировки</t>
  </si>
  <si>
    <t>6. Предоставление услуг парикмахерскими и салонами красоты</t>
  </si>
  <si>
    <t>7. Предоставление прочих персональных услуг, не включенных в другие группировки</t>
  </si>
  <si>
    <t>прочие поступления</t>
  </si>
  <si>
    <t>Субсидия на выполнение государственного задания</t>
  </si>
  <si>
    <t>Поступления от оказания услуг (выполнение работ), предоставление которых для физических и юридических лиц осуществляется на платной основе</t>
  </si>
  <si>
    <t>1.1. Общая балансовая стоимость недвижимого  имущества, всего</t>
  </si>
  <si>
    <t>1.1.1. Стоимость имущества, закрепленного собственником имущества за учреждением (подразделением)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</si>
  <si>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средств</t>
  </si>
  <si>
    <t>1.1.3. 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</si>
  <si>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 имущества</t>
  </si>
  <si>
    <t>1.2. Общая балансовая стоимость движимого  имущества, всего,</t>
  </si>
  <si>
    <t>2.1 денежные средства учреждения, всего</t>
  </si>
  <si>
    <t>2.1.1 денежные средства учреждения на лицевых счетах в органе казначейства</t>
  </si>
  <si>
    <t>2.1.3 денежные средства в кассе</t>
  </si>
  <si>
    <t>2.1.4 денежные средства учреждения, размещенные на депозиты в кредитной организации</t>
  </si>
  <si>
    <t>2.2 иные финансовые инструменты</t>
  </si>
  <si>
    <t>2.3 дебиторская  задолженность, всего</t>
  </si>
  <si>
    <t>2.3.1 дебиторская задолженность по доходам, полученным за счет средств субсидий</t>
  </si>
  <si>
    <t>2.3.2. Дебиторская задолженность по выданным авансам, полученным за счет средств субсидий, всего:</t>
  </si>
  <si>
    <t>2.3.2 дебиторская задолженность по выданным авансам за счет приносящей доход деятельности, всего:</t>
  </si>
  <si>
    <t>3.1 долговые обязательства</t>
  </si>
  <si>
    <t>3.2.  кредиторская задолженность, всего:</t>
  </si>
  <si>
    <t>3.2.1 Просроченная кредиторская задолженность</t>
  </si>
  <si>
    <t>3.2.2  Кредиторская задолженность по расчетам с поставщиками и подрядчиками за счет средств субсидий, всего</t>
  </si>
  <si>
    <t>3.2.3.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</si>
  <si>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Планируемое количество дополнительных услуг, оказываемых учреждением на финансовый год на платной основе - 74985усл.</t>
  </si>
  <si>
    <t>17. Чистка ковров, ковровых дорожек, гардин, портьер вручную - 783 усл.; 18. чистка ковров, ковровых покрытий, гардин, портьер с помощью пылесоса-14348 усл.;19. мытье стен и дверей- 96усл.; 20. мытье потолков - 88 усл.; 21. мытье лестниц -309 усл.; 22. мытье (чистка) зеркал и стекол - 1447 усл.; 23.  мытье (чистка) холодильников внутри и снаружи ( с оттаиванием) -188усл.; 24. мытье (чистка) люстр. бра, подвесок, торшеров - 158усл.; 25. мытье отопительных батарей - 38 усл.; 26. мытье(чистка) раковин -833 усл.; 27. мытье (чистка) ванн - 192усл.; 28. доставка продуктов в погреб и из погреба до 100м -2251усл.; 29. вынос нечистот -1103 усл.; 30. развешивание и снятие белья после стирки -316 усл.: 31. купание- 13 усл.; 32.  мытье (чистка) унитаза - 48 усл.; 33. мытье головы шампунем - 13 усл.; 34. мытье окон - 191 усл.; 35. очистка дорожек от снега - 16 усл.:36. смена постельного белья - 10 усл.</t>
  </si>
  <si>
    <t xml:space="preserve">1. Вынос мусора - 4036 усл.; 2. доставка воды 1390 усл.; 3.приобретение товаров первой необходимости по индивидуальному заказу - 24 усл.; 4. подмет ание дорожек - 529 усл.; 5. подметание полов - 12505 усл.; 6. мытье полов - 16819 усл.; 7. сухая очистка бытовых предметов и мебели - 9316 усл. ; 8. очистка влажным способом бытовых предметов и мебели 5041 - усл.; 9.мытье и чистка посуды -1244усл.; 10. мытье (чистка) газовой плиты (3-х и 4-х конфорочной) -680 усл.; 11. мытье (чистка) газовой плиты 2-х конфорочной -192 усл.; 12. стирка белья вручную на дому у гражданина - 48 усл.; 13.стирка белья стиральной машиной на дому у гражданина - 142усл.; 14. глажение белья вручную на дому у гражданина - 148усл.; 15. санитарная обработка ведра для отходов и нечистот-28усл. - 6 усл.; 16. сопровождение гражданина при посещении учреждений социальной защиты, здравоохранения и других организхаций -12 усл.; </t>
  </si>
  <si>
    <t>1. Приготовление первых блюд (на дому) из продуктов гражданина - 16 усл.; 2. приготовление вторых блюд (на дому) из продуктов гражданина -29  усл.</t>
  </si>
  <si>
    <t>Планируемый объем средств, получаемых за оказание дополнительных услуг - 1889270 руб.</t>
  </si>
  <si>
    <t>Год начала закупки</t>
  </si>
  <si>
    <t>на 2018г очередной финансовый год</t>
  </si>
  <si>
    <t>на 2019 год 1-ый год планового периода</t>
  </si>
  <si>
    <t>на 2020 год 2-ой год планового периода</t>
  </si>
  <si>
    <t>всего на закупки</t>
  </si>
  <si>
    <t>в соответствии с Федеральным законом от 5 апреля 2013г.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</si>
  <si>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№223-ФЗ "О закупках товаров, работ, услуг отдельными видами юридических лиц"</t>
  </si>
  <si>
    <t>Сумма выплат по расходам на закупку товаров, работ и услуг, руб. ( с точностью до двух знаков после запятой)</t>
  </si>
  <si>
    <t>Выплаты по расходам на закупку товаров, работ, услуг, всего:</t>
  </si>
  <si>
    <t>В том числе:</t>
  </si>
  <si>
    <t>на оплату контрактов, заключенных до начала очередного финансового года:</t>
  </si>
  <si>
    <t>X</t>
  </si>
  <si>
    <t>1.</t>
  </si>
  <si>
    <t>2.</t>
  </si>
  <si>
    <t>На закупку товаров, работ, услуг по году начала закупки:</t>
  </si>
  <si>
    <t>0001</t>
  </si>
  <si>
    <t>III. Сведения о средствах, поступающих</t>
  </si>
  <si>
    <t>во временное распоряжение учреждения (подразделения)</t>
  </si>
  <si>
    <t>(очередной финансовый год)</t>
  </si>
  <si>
    <t>Сумма (руб. с точностью до двух знаков после запятой - 0,00)</t>
  </si>
  <si>
    <t>Поступление</t>
  </si>
  <si>
    <t>Выбытие</t>
  </si>
  <si>
    <t xml:space="preserve">                         IV.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</si>
  <si>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</si>
  <si>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</si>
  <si>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</si>
  <si>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государственного</t>
  </si>
  <si>
    <t>учреждения (подразделения)</t>
  </si>
  <si>
    <t>(уполномоченное лицо)            __________________________________________</t>
  </si>
  <si>
    <t xml:space="preserve">                                    (подпись)      (расшифровка подписи)</t>
  </si>
  <si>
    <t>Главный бухгалтер</t>
  </si>
  <si>
    <t>государственного учреждения</t>
  </si>
  <si>
    <t>(подразделения)                  __________________________________________</t>
  </si>
  <si>
    <t>II.I. Показатели выплат по расходам на закупку товаров,</t>
  </si>
  <si>
    <t>работ, услуг учреждения (подразделения)</t>
  </si>
  <si>
    <t>II. Показатели по поступлениям и выплатам</t>
  </si>
  <si>
    <t>I. Показатели финансового состояния учреждения (подразделения)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</si>
  <si>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</si>
  <si>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</si>
  <si>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</si>
  <si>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на __________________ 2018 г.</t>
  </si>
  <si>
    <t>на __________________ 2019 г.</t>
  </si>
  <si>
    <t>на __________________ 2020 г.</t>
  </si>
  <si>
    <t>на __________________ 2018г.</t>
  </si>
  <si>
    <t>Расчеты (обоснование)</t>
  </si>
  <si>
    <t>к плану финансово-хозяйственной деятельности</t>
  </si>
  <si>
    <t>государственного (муниципального) учреждения</t>
  </si>
  <si>
    <t>1. Расчеты (обоснования) выплат персоналу (строка 210)</t>
  </si>
  <si>
    <t>1.1. Расчеты (обоснования) расходов на оплату труда</t>
  </si>
  <si>
    <t>N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</si>
  <si>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</si>
  <si>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</si>
  <si>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</si>
  <si>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</si>
  <si>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</si>
  <si>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(1 + гр. 8 / 100) x гр. 9 x 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</si>
  <si>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</si>
  <si>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</si>
  <si>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</si>
  <si>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</si>
  <si>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</si>
  <si>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Приложение № 2</t>
  </si>
  <si>
    <t>к Порядку составления и утверждения плана финансово-хозяйственной деятельности государственных бюджетных и автономных учреждений, находящихся в ведении министерства социального развития Саратовской области утвержденный приказом Министерства социального развития Саратовской области     от_______________№________</t>
  </si>
  <si>
    <t>1.4. Расчеты (обоснования) страховых взносов</t>
  </si>
  <si>
    <t>на обязательное страхование в Пенсионный фонд</t>
  </si>
  <si>
    <t>Российской Федерации, в Фонд социального страхования</t>
  </si>
  <si>
    <t>Российской Федерации, в Федеральный фонд</t>
  </si>
  <si>
    <t>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</si>
  <si>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</si>
  <si>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</si>
  <si>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</si>
  <si>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</t>
  </si>
  <si>
    <t>в том числе: 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</si>
  <si>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</si>
  <si>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</si>
  <si>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</si>
  <si>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</si>
  <si>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</si>
  <si>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</si>
  <si>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</si>
  <si>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1.1</t>
  </si>
  <si>
    <t>1.2</t>
  </si>
  <si>
    <t>1.3</t>
  </si>
  <si>
    <t>2.1</t>
  </si>
  <si>
    <t>2.2</t>
  </si>
  <si>
    <t>2.3</t>
  </si>
  <si>
    <t>2.4</t>
  </si>
  <si>
    <t>2.5</t>
  </si>
  <si>
    <t>обязательное социальное страхование от несчастных случаев на производстве и профессиональных заболеваний по ставке 0,%</t>
  </si>
  <si>
    <t>обязательное социальное страхование от несчастных случаев на производстве и профессиональных заболеваний по ставке 0,28%</t>
  </si>
  <si>
    <t>Директор</t>
  </si>
  <si>
    <t xml:space="preserve">Заместитель директора </t>
  </si>
  <si>
    <t>бухгалтер</t>
  </si>
  <si>
    <t>Экономист</t>
  </si>
  <si>
    <t>кассир</t>
  </si>
  <si>
    <t>юрисконсульт</t>
  </si>
  <si>
    <t>Заведующий хозяйством</t>
  </si>
  <si>
    <t>Специалист по охране труда</t>
  </si>
  <si>
    <t>Специалист  по кадрам</t>
  </si>
  <si>
    <t>Программист</t>
  </si>
  <si>
    <t>Техник</t>
  </si>
  <si>
    <t>заведующая отделением</t>
  </si>
  <si>
    <t>Специалист по работе с семьей</t>
  </si>
  <si>
    <t>Специалист по реабилитационной работе в социальной сфере</t>
  </si>
  <si>
    <t>Социальный работник</t>
  </si>
  <si>
    <t>Специалист по социальной работе</t>
  </si>
  <si>
    <t>Психолог</t>
  </si>
  <si>
    <t>Водитель</t>
  </si>
  <si>
    <t xml:space="preserve">Уборщик служебных помещений </t>
  </si>
  <si>
    <t>Сторож (вахтер)</t>
  </si>
  <si>
    <t>Рабочий по обслуживанию зданий</t>
  </si>
  <si>
    <t>Электромонтер</t>
  </si>
  <si>
    <t>Оператор котельной</t>
  </si>
  <si>
    <t>Код видов расходов ___________111_____________</t>
  </si>
  <si>
    <t>Источник финансового обеспечения ______4_______</t>
  </si>
  <si>
    <t>ГАУ СО ЦСЗН Пугачевского района</t>
  </si>
  <si>
    <t>Источник финансового обеспечения ______2______</t>
  </si>
  <si>
    <t>Размер базы для начисления страховых взносов, руб.(гарантированные услуги)</t>
  </si>
  <si>
    <t>Размер базы для начисления страховых взносов, руб.( дополнительные услуги)</t>
  </si>
  <si>
    <t>2018 год</t>
  </si>
  <si>
    <t>гарантированные услуги</t>
  </si>
  <si>
    <t>дополнительные услуги</t>
  </si>
  <si>
    <t>2019 год</t>
  </si>
  <si>
    <t>2020 год</t>
  </si>
  <si>
    <t>Размер базы для начисления страховых взносов, руб. (дополнительные услуги)</t>
  </si>
  <si>
    <t>Субсидия на реализацию перечня мероприятий по организации предоставления мер социальной поддержки отдельным категориям граждан в рамках государственной программы Саратовской области " Социальная поддержка и социальное обслуживание граждан до 2020 года"</t>
  </si>
  <si>
    <t>Планируемый остаток средств на начало планируемого год-31157,46 руб.</t>
  </si>
  <si>
    <t>2.1.2 денежные средства учреждения в иностранной валюте на счетах в кредитной организации</t>
  </si>
  <si>
    <t>2.3.2.1 по выданным авансам на услуги связи</t>
  </si>
  <si>
    <t>Код дополнительного аналитического трехзначного классификатора "Направление"</t>
  </si>
  <si>
    <t>Субсидии, предоставляемые в соответствии с абзацем вторым пункта 1 статьи 78.1 Бюджетного кодекса Российской Федерации</t>
  </si>
  <si>
    <t>9</t>
  </si>
  <si>
    <t>9.4</t>
  </si>
  <si>
    <t>9.5</t>
  </si>
  <si>
    <t>9.6</t>
  </si>
  <si>
    <t>9.7</t>
  </si>
  <si>
    <t>11.1</t>
  </si>
  <si>
    <t>11.2</t>
  </si>
  <si>
    <t>11.3</t>
  </si>
  <si>
    <t>пособия по социальной помощи населению</t>
  </si>
  <si>
    <t>прочие расходы</t>
  </si>
  <si>
    <t>1002 0000000000 111 211</t>
  </si>
  <si>
    <t>1006 0000000000 111 211</t>
  </si>
  <si>
    <t>1002 0000000000 119 213</t>
  </si>
  <si>
    <t>1006 0000000000 119 213</t>
  </si>
  <si>
    <t>1002 0000000000 112 212</t>
  </si>
  <si>
    <t>1002 0000000000 851 291</t>
  </si>
  <si>
    <t>1002 0000000000 852 291</t>
  </si>
  <si>
    <t>1002 0000000000 244 221</t>
  </si>
  <si>
    <t>1002 0000000000 853 291</t>
  </si>
  <si>
    <t>1002 0000000000 244 222</t>
  </si>
  <si>
    <t>1002 0000000000 244 223</t>
  </si>
  <si>
    <t>1002 0000000000 244 224</t>
  </si>
  <si>
    <t>1002 0000000000 244 225</t>
  </si>
  <si>
    <t>1002 0000000000 244 226</t>
  </si>
  <si>
    <t>1002 0000000000 244 310</t>
  </si>
  <si>
    <t>1002 0000000000 244 340</t>
  </si>
  <si>
    <t>296</t>
  </si>
  <si>
    <t>241</t>
  </si>
  <si>
    <t>001</t>
  </si>
  <si>
    <t>002</t>
  </si>
  <si>
    <t>010</t>
  </si>
  <si>
    <t>011</t>
  </si>
  <si>
    <t>018</t>
  </si>
  <si>
    <t>021</t>
  </si>
  <si>
    <t>526</t>
  </si>
  <si>
    <t>903</t>
  </si>
  <si>
    <t>904</t>
  </si>
  <si>
    <t>902</t>
  </si>
  <si>
    <t>906</t>
  </si>
  <si>
    <t>907</t>
  </si>
  <si>
    <t>905</t>
  </si>
  <si>
    <t xml:space="preserve">                       на _01 января 2018 г.</t>
  </si>
  <si>
    <t>Субсидия на повышение оплаты труда отдельным категориям работников бюджетной сферы 040.10.0035</t>
  </si>
  <si>
    <t>Субсидия на реализацию мероприятий по повышению оплаты труда прочим категориям работников областных государственных учреждений 040.10.0037</t>
  </si>
  <si>
    <t>Субсидия на обеспечение минимального размера оплаты труда 040.10.0038</t>
  </si>
  <si>
    <t>Субсидия на реализацию перечня мероприятий по обеспечению пожарной безопасности учреждений социальной защиты населения на 2018 год</t>
  </si>
  <si>
    <t>1002 0000000000 853 295</t>
  </si>
  <si>
    <t>Субсидия на реализацию основного мероприятия 3.4.подпрограммы 3"Развитие системы социальной защиты граждан"гос.программы Саратовской области "Социальная поддержка и социальное обслуживание граждан до 2020 года"</t>
  </si>
  <si>
    <t>0707 0000000000 244 225</t>
  </si>
  <si>
    <t>0707 0000000000 244 226</t>
  </si>
  <si>
    <t>0707 0000000000 244 310</t>
  </si>
  <si>
    <t>0707 0000000000 244 340</t>
  </si>
  <si>
    <t>уплата налогов, сборов и иных платежей, всего</t>
  </si>
  <si>
    <t>Субсидия на реализацию мероприятий "Профилактика правонарушений,терроризма,экстремизма и противодействие незаконному обороту наркотических средств" на 2018 год</t>
  </si>
  <si>
    <t>Л. Н. Новикова</t>
  </si>
  <si>
    <t>М. Г. Вагеро</t>
  </si>
  <si>
    <t>Исполнитель                      ______________________М. Г. Вагеро</t>
  </si>
  <si>
    <t>Телефон 8(845-74)-4-43-59</t>
  </si>
  <si>
    <t>от оказания спонсорской помощи в денежном выражении</t>
  </si>
  <si>
    <r>
      <t xml:space="preserve">2.1. Субсидии на выполнение государственного задания -34592914,00 </t>
    </r>
    <r>
      <rPr>
        <sz val="10"/>
        <color indexed="8"/>
        <rFont val="Times New Roman"/>
        <family val="1"/>
      </rPr>
      <t>руб.</t>
    </r>
  </si>
  <si>
    <t>2.2 Субсидия на иные цели - 16275543,39 руб.</t>
  </si>
  <si>
    <t>Государственная программа Саратовсокй области "Социальная поддержка и социальное обслуживание граждан до 2020 года" 1006-2607401,84 руб.</t>
  </si>
  <si>
    <t>Государственная программа Саратовской области "Защита населения и территорий от чрезвычайных ситуаций, обеспечение пожарной безопасности до 2020 года - 64290,00 руб.</t>
  </si>
  <si>
    <t>Субсидия на повышение оплаты труда отдельным категориям работников бюджетной сферы -11124691,97 руб.</t>
  </si>
  <si>
    <t>Субсидия на реализацию мероприятий по повышению оплаты труда прочим категориям работников областных государственных учреждений 040.10.0037 -398920,34 руб.</t>
  </si>
  <si>
    <t>Субсидия на обеспечение минимального размера оплаты труда 040.10.0038 -1173334,24 руб.</t>
  </si>
  <si>
    <t>2.3. Поступления от оказания учреждением услуг, предоставление которых для физических и юридических лиц осуществляется на платной основе - 3967916,70руб.</t>
  </si>
  <si>
    <t>2.4.Поступления от оказания спонсорской помощи в денежном выражении - 50000,00 руб.</t>
  </si>
  <si>
    <r>
      <t>Поступления  всего - 54886374,09</t>
    </r>
    <r>
      <rPr>
        <sz val="10"/>
        <color indexed="8"/>
        <rFont val="Times New Roman"/>
        <family val="1"/>
      </rPr>
      <t>руб.</t>
    </r>
  </si>
  <si>
    <t>_______________________________Л. Н. Новикова</t>
  </si>
  <si>
    <t>"29" декабря 2018г._______</t>
  </si>
  <si>
    <t>От "29"декабря 2018г.</t>
  </si>
  <si>
    <t>Наименование учреждения: Государственное автономное учреждение Саратовской области "Комплексный центр социального обслуживания населения Пугачевского района"</t>
  </si>
  <si>
    <r>
      <rPr>
        <b/>
        <sz val="10"/>
        <rFont val="Times New Roman"/>
        <family val="1"/>
      </rPr>
      <t xml:space="preserve">1.1. Цели деятельности учреждения в соответствии с федеральными законами, иными нормативными правовыми актами и уставом учреждения: </t>
    </r>
    <r>
      <rPr>
        <sz val="10"/>
        <rFont val="Times New Roman"/>
        <family val="1"/>
      </rPr>
      <t xml:space="preserve"> Предметом деятельности Учреждения является  социальное обслуживание отдельных категорий граждан.   Целями деятельности, для которых создано Учреждение, является обеспечение реализации прав отдельных категорий граждан на  социальное обслуживание населения.
</t>
    </r>
  </si>
  <si>
    <r>
      <rPr>
        <b/>
        <sz val="10"/>
        <rFont val="Times New Roman"/>
        <family val="1"/>
      </rPr>
      <t xml:space="preserve">1.2. Виды деятельности учреждения, относящиеся к его основным видам деятельности в соответствии с уставом учреждения:             </t>
    </r>
    <r>
      <rPr>
        <sz val="10"/>
        <rFont val="Times New Roman"/>
        <family val="1"/>
      </rPr>
      <t xml:space="preserve">                                                                                          Для достижения поставленной цели Учреждение осуществляет следующие виды деятельности:                                                                                                                                                                                                                                 1. Предоставление бесплатно, а также на условиях частичной или полной оплаты социально-бытовых, социально-медицинских, социально-психологических, социально-педагогических, социально-экономических, социально-правовых услуг, направленных на социальную реабилитацию и удовлетворение основных жизненных потребностей семей различных категорий, отдельных категорий граждан.
Планируемое количество</t>
    </r>
    <r>
      <rPr>
        <b/>
        <u val="single"/>
        <sz val="10"/>
        <rFont val="Times New Roman"/>
        <family val="1"/>
      </rPr>
      <t xml:space="preserve"> услуг, оказываемых автономным учреждением в соответствии с государственным заданием: 1.</t>
    </r>
    <r>
      <rPr>
        <u val="single"/>
        <sz val="10"/>
        <rFont val="Times New Roman"/>
        <family val="1"/>
      </rPr>
      <t xml:space="preserve"> Предоставление социального обслуживания на дому- предоставление социально-бытовых услуг-241536 усл., социально-психологических-1600 усл., социально-педагогических-60усл., социально-правовых -560усл. 2. Предоставление социального обслуживания в полустационарной форме- социально-психологических-330 усл., социально-педагогических-6499 усл., социально-правовых -355 усл. Предоставление услуг в целях коммукативного потенцеала получателей социальных услуг, имеющих ограничения жизнедеятельности, в том числе детей-инвалидов-460 усл. Предоставление срочных социальных услуг -3291 усл.3. Социальное обслуживание в форме на дому (семьи с несовершеннолетними детьми)-21794 усл. 4. Предоставление социального обслуживания в полустационарной форме (семьи с несовершеннолетними детьми)-17237усл. 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 опасном положении -2815 усл.</t>
    </r>
  </si>
  <si>
    <r>
      <t xml:space="preserve">  </t>
    </r>
    <r>
      <rPr>
        <b/>
        <sz val="10"/>
        <rFont val="Times New Roman"/>
        <family val="1"/>
      </rPr>
      <t>Всего услуг по государственному заданию - 293246 усл</t>
    </r>
    <r>
      <rPr>
        <sz val="10"/>
        <rFont val="Times New Roman"/>
        <family val="1"/>
      </rPr>
      <t xml:space="preserve">.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Планируемый объем средств, получаемых за оказание социальных услуг - 2108078,28 рублей.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</t>
    </r>
  </si>
  <si>
    <t>"29" декабря 2018__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</si>
</sst>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#,##0.00;0.00"/>
    <numFmt numFmtId="181" formatCode="00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8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9"/>
      <name val="Times New Roman"/>
      <family val="1"/>
    </font>
    <font>
      <b/>
      <sz val="18"/>
      <name val="Times New Roman"/>
      <family val="1"/>
    </font>
    <font>
      <b/>
      <sz val="1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53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2" fillId="0" borderId="0" xfId="53">
      <alignment/>
      <protection/>
    </xf>
    <xf numFmtId="0" fontId="0" fillId="0" borderId="0" xfId="0" applyAlignment="1">
      <alignment wrapText="1"/>
    </xf>
    <xf numFmtId="0" fontId="5" fillId="0" borderId="0" xfId="53" applyFont="1" applyProtection="1">
      <alignment/>
      <protection hidden="1"/>
    </xf>
    <xf numFmtId="0" fontId="6" fillId="0" borderId="0" xfId="53" applyNumberFormat="1" applyFont="1" applyFill="1" applyAlignment="1" applyProtection="1">
      <alignment wrapText="1"/>
      <protection hidden="1"/>
    </xf>
    <xf numFmtId="0" fontId="7" fillId="0" borderId="0" xfId="0" applyFont="1" applyAlignment="1">
      <alignment wrapText="1"/>
    </xf>
    <xf numFmtId="0" fontId="8" fillId="0" borderId="0" xfId="53" applyNumberFormat="1" applyFont="1" applyFill="1" applyAlignment="1" applyProtection="1">
      <alignment horizontal="right" vertical="top"/>
      <protection hidden="1"/>
    </xf>
    <xf numFmtId="0" fontId="7" fillId="0" borderId="0" xfId="53" applyNumberFormat="1" applyFont="1" applyFill="1" applyAlignment="1" applyProtection="1">
      <alignment/>
      <protection hidden="1"/>
    </xf>
    <xf numFmtId="0" fontId="10" fillId="0" borderId="0" xfId="53" applyNumberFormat="1" applyFont="1" applyFill="1" applyAlignment="1" applyProtection="1">
      <alignment horizontal="centerContinuous"/>
      <protection hidden="1"/>
    </xf>
    <xf numFmtId="0" fontId="7" fillId="0" borderId="0" xfId="53" applyNumberFormat="1" applyFont="1" applyFill="1" applyAlignment="1" applyProtection="1">
      <alignment horizontal="centerContinuous"/>
      <protection hidden="1"/>
    </xf>
    <xf numFmtId="0" fontId="9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Border="1" applyAlignment="1" applyProtection="1">
      <alignment horizontal="right"/>
      <protection hidden="1"/>
    </xf>
    <xf numFmtId="0" fontId="10" fillId="0" borderId="0" xfId="53" applyNumberFormat="1" applyFont="1" applyFill="1" applyBorder="1" applyAlignment="1" applyProtection="1">
      <alignment horizontal="centerContinuous"/>
      <protection hidden="1"/>
    </xf>
    <xf numFmtId="181" fontId="10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0" fontId="10" fillId="0" borderId="0" xfId="0" applyFont="1" applyAlignment="1">
      <alignment horizontal="justify"/>
    </xf>
    <xf numFmtId="0" fontId="18" fillId="0" borderId="0" xfId="53" applyNumberFormat="1" applyFont="1" applyFill="1" applyAlignment="1" applyProtection="1">
      <alignment horizontal="centerContinuous"/>
      <protection hidden="1"/>
    </xf>
    <xf numFmtId="0" fontId="10" fillId="0" borderId="10" xfId="0" applyFont="1" applyBorder="1" applyAlignment="1">
      <alignment horizontal="center" vertical="center" wrapText="1"/>
    </xf>
    <xf numFmtId="0" fontId="13" fillId="0" borderId="0" xfId="53" applyNumberFormat="1" applyFont="1" applyFill="1" applyAlignment="1" applyProtection="1">
      <alignment horizontal="left"/>
      <protection hidden="1"/>
    </xf>
    <xf numFmtId="0" fontId="13" fillId="0" borderId="0" xfId="0" applyFont="1" applyBorder="1" applyAlignment="1">
      <alignment wrapText="1"/>
    </xf>
    <xf numFmtId="0" fontId="14" fillId="0" borderId="0" xfId="53" applyFont="1" applyAlignment="1" applyProtection="1">
      <alignment horizontal="left" vertical="center" wrapText="1"/>
      <protection hidden="1"/>
    </xf>
    <xf numFmtId="0" fontId="15" fillId="0" borderId="0" xfId="0" applyFont="1" applyAlignment="1">
      <alignment horizontal="left" vertical="center" wrapText="1"/>
    </xf>
    <xf numFmtId="0" fontId="14" fillId="0" borderId="0" xfId="53" applyFont="1" applyAlignment="1" applyProtection="1">
      <alignment wrapText="1"/>
      <protection hidden="1"/>
    </xf>
    <xf numFmtId="0" fontId="15" fillId="0" borderId="0" xfId="0" applyFont="1" applyAlignment="1">
      <alignment wrapText="1"/>
    </xf>
    <xf numFmtId="0" fontId="6" fillId="0" borderId="0" xfId="53" applyFont="1" applyAlignment="1" applyProtection="1">
      <alignment wrapText="1"/>
      <protection hidden="1"/>
    </xf>
    <xf numFmtId="0" fontId="16" fillId="0" borderId="0" xfId="0" applyFont="1" applyAlignment="1">
      <alignment wrapText="1"/>
    </xf>
    <xf numFmtId="0" fontId="6" fillId="0" borderId="0" xfId="53" applyFont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 vertical="center" wrapText="1"/>
    </xf>
    <xf numFmtId="0" fontId="1" fillId="0" borderId="11" xfId="53" applyNumberFormat="1" applyFont="1" applyFill="1" applyBorder="1" applyAlignment="1" applyProtection="1">
      <alignment horizontal="centerContinuous"/>
      <protection hidden="1"/>
    </xf>
    <xf numFmtId="0" fontId="1" fillId="0" borderId="10" xfId="53" applyNumberFormat="1" applyFont="1" applyFill="1" applyBorder="1" applyAlignment="1" applyProtection="1">
      <alignment horizontal="centerContinuous"/>
      <protection hidden="1"/>
    </xf>
    <xf numFmtId="0" fontId="1" fillId="0" borderId="12" xfId="53" applyNumberFormat="1" applyFont="1" applyFill="1" applyBorder="1" applyAlignment="1" applyProtection="1">
      <alignment horizontal="centerContinuous"/>
      <protection hidden="1"/>
    </xf>
    <xf numFmtId="182" fontId="1" fillId="0" borderId="12" xfId="53" applyNumberFormat="1" applyFont="1" applyFill="1" applyBorder="1" applyAlignment="1" applyProtection="1">
      <alignment horizontal="center"/>
      <protection hidden="1"/>
    </xf>
    <xf numFmtId="0" fontId="1" fillId="0" borderId="13" xfId="53" applyNumberFormat="1" applyFont="1" applyFill="1" applyBorder="1" applyAlignment="1" applyProtection="1">
      <alignment horizontal="centerContinuous"/>
      <protection hidden="1"/>
    </xf>
    <xf numFmtId="0" fontId="7" fillId="0" borderId="0" xfId="0" applyFont="1" applyBorder="1" applyAlignment="1">
      <alignment horizontal="right" wrapText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2" fillId="0" borderId="0" xfId="53" applyFont="1">
      <alignment/>
      <protection/>
    </xf>
    <xf numFmtId="0" fontId="20" fillId="0" borderId="0" xfId="0" applyFont="1" applyAlignment="1">
      <alignment horizontal="center" vertical="center" wrapText="1"/>
    </xf>
    <xf numFmtId="0" fontId="22" fillId="0" borderId="14" xfId="53" applyNumberFormat="1" applyFont="1" applyFill="1" applyBorder="1" applyAlignment="1" applyProtection="1">
      <alignment horizontal="center" wrapText="1"/>
      <protection hidden="1"/>
    </xf>
    <xf numFmtId="0" fontId="22" fillId="0" borderId="15" xfId="53" applyNumberFormat="1" applyFont="1" applyFill="1" applyBorder="1" applyAlignment="1" applyProtection="1">
      <alignment horizontal="center" wrapText="1"/>
      <protection hidden="1"/>
    </xf>
    <xf numFmtId="0" fontId="22" fillId="0" borderId="16" xfId="53" applyNumberFormat="1" applyFont="1" applyFill="1" applyBorder="1" applyAlignment="1" applyProtection="1">
      <alignment horizontal="center" wrapText="1"/>
      <protection hidden="1"/>
    </xf>
    <xf numFmtId="0" fontId="22" fillId="0" borderId="17" xfId="53" applyNumberFormat="1" applyFont="1" applyFill="1" applyBorder="1" applyAlignment="1" applyProtection="1">
      <alignment horizontal="center"/>
      <protection hidden="1"/>
    </xf>
    <xf numFmtId="0" fontId="14" fillId="0" borderId="17" xfId="53" applyNumberFormat="1" applyFont="1" applyFill="1" applyBorder="1" applyAlignment="1" applyProtection="1">
      <alignment horizontal="center"/>
      <protection hidden="1"/>
    </xf>
    <xf numFmtId="0" fontId="14" fillId="0" borderId="17" xfId="53" applyFont="1" applyBorder="1">
      <alignment/>
      <protection/>
    </xf>
    <xf numFmtId="4" fontId="23" fillId="0" borderId="17" xfId="53" applyNumberFormat="1" applyFont="1" applyFill="1" applyBorder="1" applyAlignment="1" applyProtection="1">
      <alignment wrapText="1"/>
      <protection hidden="1"/>
    </xf>
    <xf numFmtId="4" fontId="14" fillId="0" borderId="17" xfId="53" applyNumberFormat="1" applyFont="1" applyFill="1" applyBorder="1" applyAlignment="1" applyProtection="1">
      <alignment wrapText="1"/>
      <protection hidden="1"/>
    </xf>
    <xf numFmtId="4" fontId="14" fillId="0" borderId="17" xfId="53" applyNumberFormat="1" applyFont="1" applyFill="1" applyBorder="1" applyAlignment="1" applyProtection="1">
      <alignment/>
      <protection hidden="1"/>
    </xf>
    <xf numFmtId="4" fontId="14" fillId="0" borderId="18" xfId="53" applyNumberFormat="1" applyFont="1" applyFill="1" applyBorder="1" applyAlignment="1" applyProtection="1">
      <alignment wrapText="1"/>
      <protection hidden="1"/>
    </xf>
    <xf numFmtId="4" fontId="14" fillId="0" borderId="19" xfId="53" applyNumberFormat="1" applyFont="1" applyFill="1" applyBorder="1" applyAlignment="1" applyProtection="1">
      <alignment wrapText="1"/>
      <protection hidden="1"/>
    </xf>
    <xf numFmtId="2" fontId="14" fillId="0" borderId="19" xfId="53" applyNumberFormat="1" applyFont="1" applyBorder="1" applyAlignment="1">
      <alignment horizontal="right"/>
      <protection/>
    </xf>
    <xf numFmtId="4" fontId="14" fillId="0" borderId="18" xfId="53" applyNumberFormat="1" applyFont="1" applyFill="1" applyBorder="1" applyAlignment="1" applyProtection="1">
      <alignment/>
      <protection hidden="1"/>
    </xf>
    <xf numFmtId="4" fontId="14" fillId="0" borderId="19" xfId="53" applyNumberFormat="1" applyFont="1" applyFill="1" applyBorder="1" applyAlignment="1" applyProtection="1">
      <alignment/>
      <protection hidden="1"/>
    </xf>
    <xf numFmtId="4" fontId="14" fillId="0" borderId="20" xfId="53" applyNumberFormat="1" applyFont="1" applyFill="1" applyBorder="1" applyAlignment="1" applyProtection="1">
      <alignment/>
      <protection hidden="1"/>
    </xf>
    <xf numFmtId="4" fontId="14" fillId="0" borderId="20" xfId="53" applyNumberFormat="1" applyFont="1" applyFill="1" applyBorder="1" applyAlignment="1" applyProtection="1">
      <alignment wrapText="1"/>
      <protection hidden="1"/>
    </xf>
    <xf numFmtId="0" fontId="14" fillId="0" borderId="19" xfId="53" applyFont="1" applyBorder="1" applyProtection="1">
      <alignment/>
      <protection hidden="1"/>
    </xf>
    <xf numFmtId="0" fontId="14" fillId="0" borderId="17" xfId="53" applyFont="1" applyBorder="1" applyProtection="1">
      <alignment/>
      <protection hidden="1"/>
    </xf>
    <xf numFmtId="0" fontId="14" fillId="0" borderId="20" xfId="53" applyFont="1" applyBorder="1" applyProtection="1">
      <alignment/>
      <protection hidden="1"/>
    </xf>
    <xf numFmtId="0" fontId="14" fillId="0" borderId="18" xfId="53" applyFont="1" applyBorder="1" applyProtection="1">
      <alignment/>
      <protection hidden="1"/>
    </xf>
    <xf numFmtId="2" fontId="14" fillId="0" borderId="19" xfId="53" applyNumberFormat="1" applyFont="1" applyBorder="1" applyAlignment="1" applyProtection="1">
      <alignment horizontal="right"/>
      <protection hidden="1"/>
    </xf>
    <xf numFmtId="0" fontId="14" fillId="0" borderId="19" xfId="53" applyFont="1" applyBorder="1">
      <alignment/>
      <protection/>
    </xf>
    <xf numFmtId="0" fontId="14" fillId="0" borderId="20" xfId="53" applyFont="1" applyBorder="1">
      <alignment/>
      <protection/>
    </xf>
    <xf numFmtId="0" fontId="14" fillId="0" borderId="18" xfId="53" applyFont="1" applyBorder="1">
      <alignment/>
      <protection/>
    </xf>
    <xf numFmtId="0" fontId="14" fillId="0" borderId="21" xfId="53" applyFont="1" applyBorder="1">
      <alignment/>
      <protection/>
    </xf>
    <xf numFmtId="0" fontId="14" fillId="0" borderId="22" xfId="53" applyFont="1" applyBorder="1">
      <alignment/>
      <protection/>
    </xf>
    <xf numFmtId="0" fontId="14" fillId="0" borderId="23" xfId="53" applyFont="1" applyBorder="1">
      <alignment/>
      <protection/>
    </xf>
    <xf numFmtId="0" fontId="14" fillId="0" borderId="24" xfId="53" applyFont="1" applyBorder="1">
      <alignment/>
      <protection/>
    </xf>
    <xf numFmtId="4" fontId="14" fillId="0" borderId="25" xfId="53" applyNumberFormat="1" applyFont="1" applyFill="1" applyBorder="1" applyAlignment="1" applyProtection="1">
      <alignment horizontal="right"/>
      <protection hidden="1"/>
    </xf>
    <xf numFmtId="4" fontId="14" fillId="0" borderId="26" xfId="53" applyNumberFormat="1" applyFont="1" applyFill="1" applyBorder="1" applyAlignment="1" applyProtection="1">
      <alignment horizontal="right"/>
      <protection hidden="1"/>
    </xf>
    <xf numFmtId="4" fontId="14" fillId="0" borderId="27" xfId="53" applyNumberFormat="1" applyFont="1" applyFill="1" applyBorder="1" applyAlignment="1" applyProtection="1">
      <alignment horizontal="right"/>
      <protection hidden="1"/>
    </xf>
    <xf numFmtId="4" fontId="14" fillId="0" borderId="28" xfId="53" applyNumberFormat="1" applyFont="1" applyFill="1" applyBorder="1" applyAlignment="1" applyProtection="1">
      <alignment horizontal="right"/>
      <protection hidden="1"/>
    </xf>
    <xf numFmtId="4" fontId="14" fillId="0" borderId="29" xfId="53" applyNumberFormat="1" applyFont="1" applyFill="1" applyBorder="1" applyAlignment="1" applyProtection="1">
      <alignment horizontal="right"/>
      <protection hidden="1"/>
    </xf>
    <xf numFmtId="0" fontId="24" fillId="0" borderId="0" xfId="53" applyFont="1">
      <alignment/>
      <protection/>
    </xf>
    <xf numFmtId="0" fontId="74" fillId="0" borderId="0" xfId="0" applyFont="1" applyAlignment="1">
      <alignment wrapText="1"/>
    </xf>
    <xf numFmtId="2" fontId="7" fillId="0" borderId="12" xfId="0" applyNumberFormat="1" applyFont="1" applyBorder="1" applyAlignment="1">
      <alignment horizontal="left" vertical="top" wrapText="1"/>
    </xf>
    <xf numFmtId="2" fontId="7" fillId="0" borderId="12" xfId="0" applyNumberFormat="1" applyFont="1" applyBorder="1" applyAlignment="1">
      <alignment horizontal="justify" vertical="top" wrapText="1"/>
    </xf>
    <xf numFmtId="2" fontId="7" fillId="0" borderId="30" xfId="0" applyNumberFormat="1" applyFont="1" applyBorder="1" applyAlignment="1">
      <alignment horizontal="justify" vertical="top" wrapText="1"/>
    </xf>
    <xf numFmtId="0" fontId="21" fillId="0" borderId="0" xfId="53" applyFont="1" applyProtection="1">
      <alignment/>
      <protection hidden="1"/>
    </xf>
    <xf numFmtId="0" fontId="22" fillId="0" borderId="19" xfId="53" applyNumberFormat="1" applyFont="1" applyFill="1" applyBorder="1" applyAlignment="1" applyProtection="1">
      <alignment horizontal="center"/>
      <protection hidden="1"/>
    </xf>
    <xf numFmtId="0" fontId="14" fillId="0" borderId="19" xfId="53" applyNumberFormat="1" applyFont="1" applyFill="1" applyBorder="1" applyAlignment="1" applyProtection="1">
      <alignment horizontal="center"/>
      <protection hidden="1"/>
    </xf>
    <xf numFmtId="2" fontId="14" fillId="0" borderId="19" xfId="53" applyNumberFormat="1" applyFont="1" applyBorder="1">
      <alignment/>
      <protection/>
    </xf>
    <xf numFmtId="4" fontId="23" fillId="0" borderId="19" xfId="53" applyNumberFormat="1" applyFont="1" applyFill="1" applyBorder="1" applyAlignment="1" applyProtection="1">
      <alignment wrapText="1"/>
      <protection hidden="1"/>
    </xf>
    <xf numFmtId="4" fontId="14" fillId="0" borderId="19" xfId="53" applyNumberFormat="1" applyFont="1" applyFill="1" applyBorder="1" applyAlignment="1" applyProtection="1">
      <alignment horizontal="right"/>
      <protection hidden="1"/>
    </xf>
    <xf numFmtId="2" fontId="17" fillId="0" borderId="17" xfId="53" applyNumberFormat="1" applyFont="1" applyBorder="1">
      <alignment/>
      <protection/>
    </xf>
    <xf numFmtId="4" fontId="17" fillId="0" borderId="17" xfId="53" applyNumberFormat="1" applyFont="1" applyFill="1" applyBorder="1" applyAlignment="1" applyProtection="1">
      <alignment horizontal="right"/>
      <protection hidden="1"/>
    </xf>
    <xf numFmtId="0" fontId="74" fillId="0" borderId="0" xfId="0" applyFont="1" applyAlignment="1">
      <alignment wrapText="1"/>
    </xf>
    <xf numFmtId="181" fontId="28" fillId="0" borderId="12" xfId="53" applyNumberFormat="1" applyFont="1" applyFill="1" applyBorder="1" applyAlignment="1" applyProtection="1">
      <alignment horizontal="centerContinuous"/>
      <protection hidden="1"/>
    </xf>
    <xf numFmtId="182" fontId="28" fillId="0" borderId="12" xfId="53" applyNumberFormat="1" applyFont="1" applyFill="1" applyBorder="1" applyAlignment="1" applyProtection="1">
      <alignment horizontal="center"/>
      <protection hidden="1"/>
    </xf>
    <xf numFmtId="0" fontId="7" fillId="0" borderId="0" xfId="53" applyNumberFormat="1" applyFont="1" applyFill="1" applyAlignment="1" applyProtection="1">
      <alignment horizontal="right"/>
      <protection hidden="1"/>
    </xf>
    <xf numFmtId="0" fontId="17" fillId="0" borderId="0" xfId="0" applyFont="1" applyAlignment="1">
      <alignment horizontal="center" vertical="center"/>
    </xf>
    <xf numFmtId="0" fontId="22" fillId="0" borderId="31" xfId="53" applyNumberFormat="1" applyFont="1" applyFill="1" applyBorder="1" applyAlignment="1" applyProtection="1">
      <alignment horizontal="center" wrapText="1"/>
      <protection hidden="1"/>
    </xf>
    <xf numFmtId="49" fontId="22" fillId="0" borderId="17" xfId="53" applyNumberFormat="1" applyFont="1" applyFill="1" applyBorder="1" applyAlignment="1" applyProtection="1">
      <alignment horizontal="center"/>
      <protection hidden="1"/>
    </xf>
    <xf numFmtId="0" fontId="14" fillId="0" borderId="32" xfId="53" applyFont="1" applyBorder="1">
      <alignment/>
      <protection/>
    </xf>
    <xf numFmtId="0" fontId="14" fillId="0" borderId="33" xfId="53" applyFont="1" applyBorder="1">
      <alignment/>
      <protection/>
    </xf>
    <xf numFmtId="0" fontId="14" fillId="0" borderId="0" xfId="53" applyFont="1" applyBorder="1">
      <alignment/>
      <protection/>
    </xf>
    <xf numFmtId="0" fontId="14" fillId="0" borderId="34" xfId="53" applyFont="1" applyBorder="1">
      <alignment/>
      <protection/>
    </xf>
    <xf numFmtId="0" fontId="14" fillId="0" borderId="35" xfId="53" applyFont="1" applyBorder="1">
      <alignment/>
      <protection/>
    </xf>
    <xf numFmtId="0" fontId="1" fillId="0" borderId="36" xfId="53" applyNumberFormat="1" applyFont="1" applyFill="1" applyBorder="1" applyAlignment="1" applyProtection="1">
      <alignment horizontal="centerContinuous"/>
      <protection hidden="1"/>
    </xf>
    <xf numFmtId="0" fontId="30" fillId="0" borderId="0" xfId="0" applyFont="1" applyBorder="1" applyAlignment="1">
      <alignment horizontal="right"/>
    </xf>
    <xf numFmtId="182" fontId="1" fillId="0" borderId="37" xfId="53" applyNumberFormat="1" applyFont="1" applyFill="1" applyBorder="1" applyAlignment="1" applyProtection="1">
      <alignment horizontal="center"/>
      <protection hidden="1"/>
    </xf>
    <xf numFmtId="2" fontId="7" fillId="33" borderId="12" xfId="0" applyNumberFormat="1" applyFont="1" applyFill="1" applyBorder="1" applyAlignment="1">
      <alignment horizontal="justify" vertical="top" wrapText="1"/>
    </xf>
    <xf numFmtId="0" fontId="31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1" fillId="0" borderId="17" xfId="53" applyNumberFormat="1" applyFont="1" applyFill="1" applyBorder="1" applyAlignment="1" applyProtection="1">
      <alignment horizontal="center" vertical="center"/>
      <protection hidden="1"/>
    </xf>
    <xf numFmtId="0" fontId="9" fillId="0" borderId="17" xfId="0" applyFont="1" applyBorder="1" applyAlignment="1">
      <alignment horizontal="center" vertical="center" wrapText="1"/>
    </xf>
    <xf numFmtId="0" fontId="9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1" fillId="0" borderId="17" xfId="53" applyNumberFormat="1" applyFont="1" applyFill="1" applyBorder="1" applyAlignment="1" applyProtection="1">
      <alignment vertical="center" wrapText="1"/>
      <protection hidden="1"/>
    </xf>
    <xf numFmtId="0" fontId="9" fillId="0" borderId="17" xfId="53" applyNumberFormat="1" applyFont="1" applyFill="1" applyBorder="1" applyAlignment="1" applyProtection="1">
      <alignment vertical="center" wrapText="1"/>
      <protection hidden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2" fontId="7" fillId="0" borderId="36" xfId="0" applyNumberFormat="1" applyFont="1" applyBorder="1" applyAlignment="1">
      <alignment horizontal="justify" vertical="top" wrapText="1"/>
    </xf>
    <xf numFmtId="0" fontId="10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12" fillId="0" borderId="13" xfId="0" applyFont="1" applyBorder="1" applyAlignment="1">
      <alignment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7" xfId="0" applyFont="1" applyBorder="1" applyAlignment="1">
      <alignment wrapText="1"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1" xfId="0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2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2" fontId="17" fillId="0" borderId="39" xfId="0" applyNumberFormat="1" applyFont="1" applyBorder="1" applyAlignment="1">
      <alignment horizontal="right" wrapText="1"/>
    </xf>
    <xf numFmtId="0" fontId="14" fillId="0" borderId="17" xfId="0" applyFont="1" applyBorder="1" applyAlignment="1">
      <alignment vertical="top" wrapText="1"/>
    </xf>
    <xf numFmtId="0" fontId="10" fillId="0" borderId="17" xfId="53" applyNumberFormat="1" applyFont="1" applyFill="1" applyBorder="1" applyAlignment="1" applyProtection="1">
      <alignment horizontal="center" wrapText="1"/>
      <protection hidden="1"/>
    </xf>
    <xf numFmtId="0" fontId="14" fillId="0" borderId="17" xfId="0" applyFont="1" applyBorder="1" applyAlignment="1">
      <alignment horizontal="center" vertical="top" wrapText="1"/>
    </xf>
    <xf numFmtId="2" fontId="17" fillId="0" borderId="17" xfId="0" applyNumberFormat="1" applyFont="1" applyBorder="1" applyAlignment="1">
      <alignment horizontal="right" wrapText="1"/>
    </xf>
    <xf numFmtId="0" fontId="10" fillId="0" borderId="17" xfId="53" applyFont="1" applyBorder="1" applyAlignment="1">
      <alignment horizontal="center"/>
      <protection/>
    </xf>
    <xf numFmtId="0" fontId="14" fillId="0" borderId="17" xfId="0" applyFont="1" applyBorder="1" applyAlignment="1">
      <alignment horizontal="justify" vertical="top" wrapText="1"/>
    </xf>
    <xf numFmtId="0" fontId="10" fillId="0" borderId="17" xfId="53" applyNumberFormat="1" applyFont="1" applyFill="1" applyBorder="1" applyAlignment="1" applyProtection="1">
      <alignment horizontal="center"/>
      <protection hidden="1"/>
    </xf>
    <xf numFmtId="0" fontId="10" fillId="0" borderId="17" xfId="53" applyFont="1" applyBorder="1" applyAlignment="1" applyProtection="1">
      <alignment horizontal="center"/>
      <protection hidden="1"/>
    </xf>
    <xf numFmtId="2" fontId="17" fillId="0" borderId="17" xfId="53" applyNumberFormat="1" applyFont="1" applyBorder="1" applyAlignment="1">
      <alignment horizontal="right"/>
      <protection/>
    </xf>
    <xf numFmtId="0" fontId="17" fillId="0" borderId="17" xfId="53" applyFont="1" applyBorder="1">
      <alignment/>
      <protection/>
    </xf>
    <xf numFmtId="0" fontId="22" fillId="0" borderId="17" xfId="53" applyFont="1" applyBorder="1">
      <alignment/>
      <protection/>
    </xf>
    <xf numFmtId="4" fontId="14" fillId="0" borderId="17" xfId="53" applyNumberFormat="1" applyFont="1" applyFill="1" applyBorder="1" applyAlignment="1" applyProtection="1">
      <alignment horizontal="centerContinuous" wrapText="1"/>
      <protection hidden="1"/>
    </xf>
    <xf numFmtId="0" fontId="14" fillId="0" borderId="0" xfId="0" applyFont="1" applyAlignment="1">
      <alignment vertical="center" wrapText="1"/>
    </xf>
    <xf numFmtId="0" fontId="10" fillId="33" borderId="0" xfId="0" applyFont="1" applyFill="1" applyAlignment="1">
      <alignment wrapText="1"/>
    </xf>
    <xf numFmtId="0" fontId="75" fillId="0" borderId="0" xfId="0" applyFont="1" applyAlignment="1">
      <alignment horizontal="center" vertical="center"/>
    </xf>
    <xf numFmtId="0" fontId="7" fillId="33" borderId="0" xfId="53" applyFont="1" applyFill="1">
      <alignment/>
      <protection/>
    </xf>
    <xf numFmtId="0" fontId="2" fillId="33" borderId="0" xfId="53" applyFill="1">
      <alignment/>
      <protection/>
    </xf>
    <xf numFmtId="0" fontId="76" fillId="33" borderId="0" xfId="53" applyFont="1" applyFill="1">
      <alignment/>
      <protection/>
    </xf>
    <xf numFmtId="0" fontId="76" fillId="33" borderId="0" xfId="53" applyFont="1" applyFill="1" applyAlignment="1">
      <alignment horizontal="left"/>
      <protection/>
    </xf>
    <xf numFmtId="14" fontId="1" fillId="0" borderId="36" xfId="53" applyNumberFormat="1" applyFont="1" applyFill="1" applyBorder="1" applyAlignment="1" applyProtection="1">
      <alignment horizontal="centerContinuous"/>
      <protection hidden="1"/>
    </xf>
    <xf numFmtId="2" fontId="7" fillId="0" borderId="17" xfId="0" applyNumberFormat="1" applyFont="1" applyBorder="1" applyAlignment="1">
      <alignment/>
    </xf>
    <xf numFmtId="0" fontId="12" fillId="0" borderId="44" xfId="0" applyFont="1" applyBorder="1" applyAlignment="1">
      <alignment vertical="center" wrapText="1"/>
    </xf>
    <xf numFmtId="0" fontId="12" fillId="0" borderId="41" xfId="0" applyFont="1" applyBorder="1" applyAlignment="1">
      <alignment horizontal="right" vertical="center" wrapText="1"/>
    </xf>
    <xf numFmtId="0" fontId="60" fillId="0" borderId="0" xfId="42" applyAlignment="1">
      <alignment horizontal="justify" vertical="center"/>
    </xf>
    <xf numFmtId="49" fontId="12" fillId="0" borderId="13" xfId="0" applyNumberFormat="1" applyFont="1" applyBorder="1" applyAlignment="1">
      <alignment horizontal="center" vertical="center" wrapText="1"/>
    </xf>
    <xf numFmtId="2" fontId="12" fillId="0" borderId="41" xfId="0" applyNumberFormat="1" applyFont="1" applyBorder="1" applyAlignment="1">
      <alignment vertical="center" wrapText="1"/>
    </xf>
    <xf numFmtId="0" fontId="12" fillId="0" borderId="4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left"/>
    </xf>
    <xf numFmtId="0" fontId="22" fillId="33" borderId="17" xfId="0" applyFont="1" applyFill="1" applyBorder="1" applyAlignment="1">
      <alignment horizontal="left" wrapText="1"/>
    </xf>
    <xf numFmtId="0" fontId="22" fillId="33" borderId="17" xfId="0" applyFont="1" applyFill="1" applyBorder="1" applyAlignment="1">
      <alignment wrapText="1"/>
    </xf>
    <xf numFmtId="0" fontId="12" fillId="0" borderId="46" xfId="0" applyFont="1" applyBorder="1" applyAlignment="1">
      <alignment vertical="center" wrapText="1"/>
    </xf>
    <xf numFmtId="0" fontId="22" fillId="33" borderId="0" xfId="0" applyFont="1" applyFill="1" applyBorder="1" applyAlignment="1">
      <alignment wrapText="1"/>
    </xf>
    <xf numFmtId="0" fontId="22" fillId="33" borderId="23" xfId="0" applyFont="1" applyFill="1" applyBorder="1" applyAlignment="1">
      <alignment/>
    </xf>
    <xf numFmtId="0" fontId="22" fillId="33" borderId="17" xfId="0" applyFont="1" applyFill="1" applyBorder="1" applyAlignment="1">
      <alignment/>
    </xf>
    <xf numFmtId="0" fontId="22" fillId="33" borderId="23" xfId="0" applyFont="1" applyFill="1" applyBorder="1" applyAlignment="1">
      <alignment wrapText="1"/>
    </xf>
    <xf numFmtId="0" fontId="77" fillId="33" borderId="17" xfId="0" applyFont="1" applyFill="1" applyBorder="1" applyAlignment="1">
      <alignment wrapText="1"/>
    </xf>
    <xf numFmtId="0" fontId="32" fillId="33" borderId="17" xfId="0" applyFont="1" applyFill="1" applyBorder="1" applyAlignment="1">
      <alignment wrapText="1"/>
    </xf>
    <xf numFmtId="4" fontId="22" fillId="33" borderId="17" xfId="0" applyNumberFormat="1" applyFont="1" applyFill="1" applyBorder="1" applyAlignment="1">
      <alignment horizontal="center" vertical="center" wrapText="1"/>
    </xf>
    <xf numFmtId="2" fontId="22" fillId="33" borderId="17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2" fontId="22" fillId="0" borderId="41" xfId="0" applyNumberFormat="1" applyFont="1" applyBorder="1" applyAlignment="1">
      <alignment horizontal="center" vertical="center" wrapText="1"/>
    </xf>
    <xf numFmtId="2" fontId="22" fillId="0" borderId="41" xfId="0" applyNumberFormat="1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2" fontId="22" fillId="0" borderId="17" xfId="0" applyNumberFormat="1" applyFont="1" applyBorder="1" applyAlignment="1">
      <alignment horizontal="center" vertical="center" wrapText="1"/>
    </xf>
    <xf numFmtId="2" fontId="22" fillId="0" borderId="17" xfId="0" applyNumberFormat="1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78" fillId="0" borderId="13" xfId="42" applyFont="1" applyBorder="1" applyAlignment="1">
      <alignment vertical="center" wrapText="1"/>
    </xf>
    <xf numFmtId="49" fontId="10" fillId="0" borderId="17" xfId="53" applyNumberFormat="1" applyFont="1" applyBorder="1" applyAlignment="1">
      <alignment horizontal="center"/>
      <protection/>
    </xf>
    <xf numFmtId="49" fontId="31" fillId="0" borderId="17" xfId="53" applyNumberFormat="1" applyFont="1" applyBorder="1" applyAlignment="1">
      <alignment horizontal="center"/>
      <protection/>
    </xf>
    <xf numFmtId="49" fontId="14" fillId="0" borderId="17" xfId="53" applyNumberFormat="1" applyFont="1" applyFill="1" applyBorder="1" applyAlignment="1" applyProtection="1">
      <alignment horizontal="centerContinuous" wrapText="1"/>
      <protection hidden="1"/>
    </xf>
    <xf numFmtId="2" fontId="17" fillId="34" borderId="17" xfId="0" applyNumberFormat="1" applyFont="1" applyFill="1" applyBorder="1" applyAlignment="1">
      <alignment horizontal="right" wrapText="1"/>
    </xf>
    <xf numFmtId="2" fontId="17" fillId="33" borderId="17" xfId="0" applyNumberFormat="1" applyFont="1" applyFill="1" applyBorder="1" applyAlignment="1">
      <alignment horizontal="right" wrapText="1"/>
    </xf>
    <xf numFmtId="0" fontId="7" fillId="33" borderId="0" xfId="53" applyFont="1" applyFill="1" applyAlignment="1">
      <alignment horizontal="left"/>
      <protection/>
    </xf>
    <xf numFmtId="49" fontId="31" fillId="0" borderId="17" xfId="53" applyNumberFormat="1" applyFont="1" applyFill="1" applyBorder="1" applyAlignment="1">
      <alignment horizontal="center"/>
      <protection/>
    </xf>
    <xf numFmtId="49" fontId="10" fillId="0" borderId="17" xfId="53" applyNumberFormat="1" applyFont="1" applyFill="1" applyBorder="1" applyAlignment="1">
      <alignment horizontal="center"/>
      <protection/>
    </xf>
    <xf numFmtId="2" fontId="17" fillId="0" borderId="17" xfId="0" applyNumberFormat="1" applyFont="1" applyFill="1" applyBorder="1" applyAlignment="1">
      <alignment horizontal="right" wrapText="1"/>
    </xf>
    <xf numFmtId="0" fontId="3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1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7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37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1" fillId="0" borderId="17" xfId="53" applyNumberFormat="1" applyFont="1" applyFill="1" applyBorder="1" applyAlignment="1" applyProtection="1">
      <alignment horizontal="center" vertical="center"/>
      <protection hidden="1"/>
    </xf>
    <xf numFmtId="0" fontId="31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31" fillId="0" borderId="48" xfId="53" applyNumberFormat="1" applyFont="1" applyFill="1" applyBorder="1" applyAlignment="1" applyProtection="1">
      <alignment horizontal="center" vertical="center" wrapText="1"/>
      <protection hidden="1"/>
    </xf>
    <xf numFmtId="0" fontId="31" fillId="0" borderId="49" xfId="53" applyNumberFormat="1" applyFont="1" applyFill="1" applyBorder="1" applyAlignment="1" applyProtection="1">
      <alignment horizontal="center" vertical="center" wrapText="1"/>
      <protection hidden="1"/>
    </xf>
    <xf numFmtId="0" fontId="31" fillId="0" borderId="46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31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31" fillId="0" borderId="39" xfId="53" applyNumberFormat="1" applyFont="1" applyFill="1" applyBorder="1" applyAlignment="1" applyProtection="1">
      <alignment horizontal="center" vertical="center" wrapText="1"/>
      <protection hidden="1"/>
    </xf>
    <xf numFmtId="0" fontId="31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horizontal="center" vertical="center"/>
    </xf>
    <xf numFmtId="0" fontId="76" fillId="0" borderId="0" xfId="0" applyFont="1" applyAlignment="1">
      <alignment horizontal="justify" wrapText="1"/>
    </xf>
    <xf numFmtId="0" fontId="30" fillId="0" borderId="0" xfId="0" applyFont="1" applyBorder="1" applyAlignment="1">
      <alignment horizontal="right" wrapText="1"/>
    </xf>
    <xf numFmtId="0" fontId="30" fillId="0" borderId="44" xfId="0" applyFont="1" applyBorder="1" applyAlignment="1">
      <alignment horizontal="right" wrapText="1"/>
    </xf>
    <xf numFmtId="0" fontId="13" fillId="0" borderId="0" xfId="53" applyNumberFormat="1" applyFont="1" applyFill="1" applyAlignment="1" applyProtection="1">
      <alignment horizontal="left" wrapText="1"/>
      <protection hidden="1"/>
    </xf>
    <xf numFmtId="0" fontId="0" fillId="0" borderId="0" xfId="0" applyAlignment="1">
      <alignment wrapText="1"/>
    </xf>
    <xf numFmtId="0" fontId="0" fillId="0" borderId="44" xfId="0" applyBorder="1" applyAlignment="1">
      <alignment wrapText="1"/>
    </xf>
    <xf numFmtId="0" fontId="76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6" fillId="33" borderId="0" xfId="53" applyFont="1" applyFill="1" applyAlignment="1">
      <alignment horizontal="left"/>
      <protection/>
    </xf>
    <xf numFmtId="0" fontId="7" fillId="0" borderId="38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19" fillId="33" borderId="0" xfId="0" applyFont="1" applyFill="1" applyAlignment="1">
      <alignment horizontal="center" vertical="center" wrapText="1"/>
    </xf>
    <xf numFmtId="0" fontId="10" fillId="0" borderId="38" xfId="0" applyFont="1" applyBorder="1" applyAlignment="1">
      <alignment vertical="top" wrapText="1"/>
    </xf>
    <xf numFmtId="0" fontId="10" fillId="0" borderId="39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7" fillId="0" borderId="50" xfId="0" applyFont="1" applyBorder="1" applyAlignment="1">
      <alignment vertical="top" wrapText="1"/>
    </xf>
    <xf numFmtId="0" fontId="7" fillId="0" borderId="51" xfId="0" applyFont="1" applyBorder="1" applyAlignment="1">
      <alignment vertical="top" wrapText="1"/>
    </xf>
    <xf numFmtId="0" fontId="7" fillId="0" borderId="52" xfId="0" applyFont="1" applyBorder="1" applyAlignment="1">
      <alignment vertical="top" wrapText="1"/>
    </xf>
    <xf numFmtId="0" fontId="7" fillId="33" borderId="0" xfId="53" applyFont="1" applyFill="1" applyAlignment="1">
      <alignment horizontal="left"/>
      <protection/>
    </xf>
    <xf numFmtId="0" fontId="3" fillId="0" borderId="0" xfId="53" applyNumberFormat="1" applyFont="1" applyFill="1" applyAlignment="1" applyProtection="1">
      <alignment wrapText="1"/>
      <protection hidden="1"/>
    </xf>
    <xf numFmtId="0" fontId="6" fillId="0" borderId="0" xfId="53" applyNumberFormat="1" applyFont="1" applyFill="1" applyAlignment="1" applyProtection="1">
      <alignment wrapText="1"/>
      <protection hidden="1"/>
    </xf>
    <xf numFmtId="0" fontId="7" fillId="0" borderId="0" xfId="0" applyFont="1" applyAlignment="1">
      <alignment wrapText="1"/>
    </xf>
    <xf numFmtId="0" fontId="14" fillId="0" borderId="0" xfId="53" applyFont="1" applyAlignment="1" applyProtection="1">
      <alignment horizontal="left" vertical="center" wrapText="1"/>
      <protection hidden="1"/>
    </xf>
    <xf numFmtId="0" fontId="15" fillId="0" borderId="0" xfId="0" applyFont="1" applyAlignment="1">
      <alignment horizontal="left" vertical="center" wrapText="1"/>
    </xf>
    <xf numFmtId="0" fontId="14" fillId="0" borderId="0" xfId="53" applyFont="1" applyAlignment="1" applyProtection="1">
      <alignment wrapText="1"/>
      <protection hidden="1"/>
    </xf>
    <xf numFmtId="0" fontId="15" fillId="0" borderId="0" xfId="0" applyFont="1" applyAlignment="1">
      <alignment wrapText="1"/>
    </xf>
    <xf numFmtId="0" fontId="7" fillId="33" borderId="0" xfId="0" applyFont="1" applyFill="1" applyAlignment="1">
      <alignment horizontal="left" vertical="center" wrapText="1"/>
    </xf>
    <xf numFmtId="0" fontId="29" fillId="0" borderId="0" xfId="0" applyFont="1" applyAlignment="1">
      <alignment horizontal="justify" wrapText="1"/>
    </xf>
    <xf numFmtId="0" fontId="6" fillId="0" borderId="0" xfId="53" applyFont="1" applyAlignment="1" applyProtection="1">
      <alignment wrapText="1"/>
      <protection hidden="1"/>
    </xf>
    <xf numFmtId="0" fontId="16" fillId="0" borderId="0" xfId="0" applyFont="1" applyAlignment="1">
      <alignment wrapText="1"/>
    </xf>
    <xf numFmtId="0" fontId="6" fillId="0" borderId="0" xfId="53" applyFont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 vertical="center" wrapText="1"/>
    </xf>
    <xf numFmtId="0" fontId="17" fillId="0" borderId="0" xfId="53" applyNumberFormat="1" applyFont="1" applyFill="1" applyAlignment="1" applyProtection="1">
      <alignment horizontal="center" vertical="center"/>
      <protection hidden="1"/>
    </xf>
    <xf numFmtId="0" fontId="11" fillId="0" borderId="0" xfId="53" applyNumberFormat="1" applyFont="1" applyFill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2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3" applyNumberFormat="1" applyFont="1" applyFill="1" applyAlignment="1" applyProtection="1">
      <alignment horizontal="right"/>
      <protection hidden="1"/>
    </xf>
    <xf numFmtId="0" fontId="0" fillId="0" borderId="44" xfId="0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6" fillId="33" borderId="0" xfId="53" applyFont="1" applyFill="1" applyAlignment="1">
      <alignment horizontal="center"/>
      <protection/>
    </xf>
    <xf numFmtId="0" fontId="79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7" fillId="33" borderId="35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7" fillId="0" borderId="16" xfId="0" applyFont="1" applyBorder="1" applyAlignment="1">
      <alignment vertical="top" wrapText="1"/>
    </xf>
    <xf numFmtId="0" fontId="7" fillId="0" borderId="53" xfId="0" applyFont="1" applyBorder="1" applyAlignment="1">
      <alignment vertical="top" wrapText="1"/>
    </xf>
    <xf numFmtId="0" fontId="7" fillId="0" borderId="54" xfId="0" applyFont="1" applyBorder="1" applyAlignment="1">
      <alignment vertical="top" wrapText="1"/>
    </xf>
    <xf numFmtId="0" fontId="7" fillId="0" borderId="3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2" fillId="0" borderId="56" xfId="0" applyFont="1" applyBorder="1" applyAlignment="1">
      <alignment horizontal="right" vertical="center" wrapText="1"/>
    </xf>
    <xf numFmtId="0" fontId="22" fillId="0" borderId="43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80" fillId="0" borderId="0" xfId="42" applyFont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49" fontId="12" fillId="0" borderId="47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2" fontId="12" fillId="0" borderId="47" xfId="0" applyNumberFormat="1" applyFont="1" applyBorder="1" applyAlignment="1">
      <alignment vertical="center" wrapText="1"/>
    </xf>
    <xf numFmtId="2" fontId="12" fillId="0" borderId="13" xfId="0" applyNumberFormat="1" applyFont="1" applyBorder="1" applyAlignment="1">
      <alignment vertical="center" wrapText="1"/>
    </xf>
    <xf numFmtId="0" fontId="12" fillId="0" borderId="56" xfId="0" applyFont="1" applyBorder="1" applyAlignment="1">
      <alignment horizontal="right" vertical="center" wrapText="1"/>
    </xf>
    <xf numFmtId="0" fontId="12" fillId="0" borderId="43" xfId="0" applyFont="1" applyBorder="1" applyAlignment="1">
      <alignment horizontal="right" vertical="center" wrapText="1"/>
    </xf>
    <xf numFmtId="0" fontId="22" fillId="0" borderId="46" xfId="0" applyFont="1" applyBorder="1" applyAlignment="1">
      <alignment horizontal="right" vertical="center" wrapText="1"/>
    </xf>
    <xf numFmtId="0" fontId="22" fillId="0" borderId="41" xfId="0" applyFont="1" applyBorder="1" applyAlignment="1">
      <alignment horizontal="right" vertical="center" wrapText="1"/>
    </xf>
    <xf numFmtId="0" fontId="12" fillId="0" borderId="57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B389B84AD87D278A60C7E7C2077DFA38465C1987DD8195C8624D6C563H2t4P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6"/>
  <sheetViews>
    <sheetView tabSelected="1" workbookViewId="0" topLeftCell="C61">
      <selection activeCell="F70" sqref="F70"/>
    </sheetView>
  </sheetViews>
  <sheetFormatPr defaultColWidth="9.00390625" defaultRowHeight="12.75"/>
  <cols>
    <col min="1" max="1" width="58.625" style="4" customWidth="1"/>
    <col min="2" max="2" width="9.125" style="4" customWidth="1"/>
    <col min="3" max="3" width="20.625" style="4" customWidth="1"/>
    <col min="4" max="4" width="12.25390625" style="4" customWidth="1"/>
    <col min="5" max="5" width="7.875" style="4" customWidth="1"/>
    <col min="6" max="6" width="19.625" style="4" customWidth="1"/>
    <col min="7" max="7" width="16.875" style="4" customWidth="1"/>
    <col min="8" max="8" width="12.25390625" style="4" customWidth="1"/>
    <col min="9" max="9" width="17.125" style="4" customWidth="1"/>
    <col min="10" max="10" width="21.75390625" style="4" customWidth="1"/>
    <col min="11" max="11" width="17.25390625" style="4" customWidth="1"/>
    <col min="12" max="12" width="14.00390625" style="4" customWidth="1"/>
    <col min="13" max="13" width="15.75390625" style="4" customWidth="1"/>
    <col min="14" max="14" width="12.25390625" style="4" customWidth="1"/>
    <col min="15" max="15" width="18.375" style="4" customWidth="1"/>
    <col min="16" max="17" width="18.00390625" style="4" customWidth="1"/>
    <col min="18" max="18" width="14.75390625" style="4" customWidth="1"/>
    <col min="19" max="20" width="23.25390625" style="4" customWidth="1"/>
    <col min="21" max="21" width="16.375" style="4" customWidth="1"/>
    <col min="22" max="22" width="18.125" style="4" customWidth="1"/>
    <col min="23" max="23" width="22.625" style="4" hidden="1" customWidth="1"/>
    <col min="24" max="24" width="11.125" style="4" hidden="1" customWidth="1"/>
    <col min="25" max="25" width="7.375" style="4" hidden="1" customWidth="1"/>
    <col min="26" max="26" width="5.75390625" style="4" hidden="1" customWidth="1"/>
    <col min="27" max="27" width="9.75390625" style="4" hidden="1" customWidth="1"/>
    <col min="28" max="29" width="5.75390625" style="4" hidden="1" customWidth="1"/>
    <col min="30" max="30" width="4.25390625" style="4" hidden="1" customWidth="1"/>
    <col min="31" max="31" width="16.25390625" style="4" hidden="1" customWidth="1"/>
    <col min="32" max="32" width="15.25390625" style="4" hidden="1" customWidth="1"/>
    <col min="33" max="33" width="2.25390625" style="4" hidden="1" customWidth="1"/>
    <col min="34" max="34" width="9.125" style="4" hidden="1" customWidth="1"/>
    <col min="35" max="35" width="0.12890625" style="4" customWidth="1"/>
    <col min="36" max="16384" width="9.125" style="4" customWidth="1"/>
  </cols>
  <sheetData>
    <row r="1" spans="1:22" ht="18.75">
      <c r="A1" s="5"/>
      <c r="B1" s="5"/>
      <c r="C1" s="91" t="s">
        <v>163</v>
      </c>
      <c r="D1" s="9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"/>
      <c r="T1" s="3"/>
      <c r="U1" s="3"/>
      <c r="V1" s="3"/>
    </row>
    <row r="2" spans="1:22" ht="18.75">
      <c r="A2" s="5"/>
      <c r="B2" s="5"/>
      <c r="C2" s="91" t="s">
        <v>155</v>
      </c>
      <c r="D2" s="9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"/>
      <c r="T2" s="3"/>
      <c r="U2" s="3"/>
      <c r="V2" s="3"/>
    </row>
    <row r="3" spans="1:22" ht="24" thickBot="1">
      <c r="A3" s="133"/>
      <c r="B3" s="133"/>
      <c r="C3" s="91" t="s">
        <v>168</v>
      </c>
      <c r="D3" s="91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40"/>
      <c r="Q3" s="40"/>
      <c r="R3" s="40"/>
      <c r="S3" s="3"/>
      <c r="T3" s="3"/>
      <c r="U3" s="3"/>
      <c r="V3" s="3"/>
    </row>
    <row r="4" spans="1:33" ht="12.75">
      <c r="A4" s="198" t="s">
        <v>4</v>
      </c>
      <c r="B4" s="215" t="s">
        <v>38</v>
      </c>
      <c r="C4" s="212" t="s">
        <v>39</v>
      </c>
      <c r="D4" s="212" t="s">
        <v>257</v>
      </c>
      <c r="E4" s="202" t="s">
        <v>40</v>
      </c>
      <c r="F4" s="218" t="s">
        <v>2</v>
      </c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6"/>
      <c r="V4" s="110"/>
      <c r="W4" s="207" t="s">
        <v>26</v>
      </c>
      <c r="X4" s="208"/>
      <c r="Y4" s="208"/>
      <c r="Z4" s="208"/>
      <c r="AA4" s="208"/>
      <c r="AB4" s="208"/>
      <c r="AC4" s="208"/>
      <c r="AD4" s="208"/>
      <c r="AE4" s="208"/>
      <c r="AF4" s="208"/>
      <c r="AG4" s="208"/>
    </row>
    <row r="5" spans="1:33" ht="12.75">
      <c r="A5" s="199"/>
      <c r="B5" s="216"/>
      <c r="C5" s="213"/>
      <c r="D5" s="213"/>
      <c r="E5" s="203"/>
      <c r="F5" s="219"/>
      <c r="G5" s="209" t="s">
        <v>19</v>
      </c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2"/>
      <c r="V5" s="110"/>
      <c r="W5" s="207"/>
      <c r="X5" s="208"/>
      <c r="Y5" s="208"/>
      <c r="Z5" s="208"/>
      <c r="AA5" s="208"/>
      <c r="AB5" s="208"/>
      <c r="AC5" s="208"/>
      <c r="AD5" s="208"/>
      <c r="AE5" s="208"/>
      <c r="AF5" s="208"/>
      <c r="AG5" s="208"/>
    </row>
    <row r="6" spans="1:33" ht="39.75" customHeight="1">
      <c r="A6" s="200"/>
      <c r="B6" s="216"/>
      <c r="C6" s="213"/>
      <c r="D6" s="213"/>
      <c r="E6" s="203"/>
      <c r="F6" s="219"/>
      <c r="G6" s="210" t="s">
        <v>41</v>
      </c>
      <c r="H6" s="104"/>
      <c r="I6" s="210" t="s">
        <v>258</v>
      </c>
      <c r="J6" s="103"/>
      <c r="K6" s="103"/>
      <c r="L6" s="209" t="s">
        <v>19</v>
      </c>
      <c r="M6" s="209"/>
      <c r="N6" s="209"/>
      <c r="O6" s="209"/>
      <c r="P6" s="209"/>
      <c r="Q6" s="104"/>
      <c r="R6" s="104"/>
      <c r="S6" s="223" t="s">
        <v>44</v>
      </c>
      <c r="T6" s="224"/>
      <c r="U6" s="224"/>
      <c r="V6" s="225"/>
      <c r="W6" s="207"/>
      <c r="X6" s="208"/>
      <c r="Y6" s="208"/>
      <c r="Z6" s="208"/>
      <c r="AA6" s="208"/>
      <c r="AB6" s="208"/>
      <c r="AC6" s="208"/>
      <c r="AD6" s="208"/>
      <c r="AE6" s="208"/>
      <c r="AF6" s="208"/>
      <c r="AG6" s="208"/>
    </row>
    <row r="7" spans="1:33" ht="180" customHeight="1" thickBot="1">
      <c r="A7" s="201"/>
      <c r="B7" s="217"/>
      <c r="C7" s="214"/>
      <c r="D7" s="214"/>
      <c r="E7" s="204"/>
      <c r="F7" s="220"/>
      <c r="G7" s="211"/>
      <c r="H7" s="103" t="s">
        <v>42</v>
      </c>
      <c r="I7" s="211"/>
      <c r="J7" s="105" t="s">
        <v>253</v>
      </c>
      <c r="K7" s="105" t="s">
        <v>301</v>
      </c>
      <c r="L7" s="105" t="s">
        <v>302</v>
      </c>
      <c r="M7" s="105" t="s">
        <v>303</v>
      </c>
      <c r="N7" s="105" t="s">
        <v>304</v>
      </c>
      <c r="O7" s="106" t="s">
        <v>306</v>
      </c>
      <c r="P7" s="106" t="s">
        <v>312</v>
      </c>
      <c r="Q7" s="105" t="s">
        <v>253</v>
      </c>
      <c r="R7" s="106" t="s">
        <v>43</v>
      </c>
      <c r="S7" s="107" t="s">
        <v>45</v>
      </c>
      <c r="T7" s="108" t="s">
        <v>46</v>
      </c>
      <c r="U7" s="109" t="s">
        <v>47</v>
      </c>
      <c r="V7" s="110" t="s">
        <v>317</v>
      </c>
      <c r="W7" s="207"/>
      <c r="X7" s="208"/>
      <c r="Y7" s="208"/>
      <c r="Z7" s="208"/>
      <c r="AA7" s="208"/>
      <c r="AB7" s="208"/>
      <c r="AC7" s="208"/>
      <c r="AD7" s="208"/>
      <c r="AE7" s="208"/>
      <c r="AF7" s="208"/>
      <c r="AG7" s="208"/>
    </row>
    <row r="8" spans="1:33" ht="15.75">
      <c r="A8" s="41">
        <v>1</v>
      </c>
      <c r="B8" s="92">
        <v>2</v>
      </c>
      <c r="C8" s="92">
        <v>3</v>
      </c>
      <c r="D8" s="92">
        <v>4</v>
      </c>
      <c r="E8" s="42">
        <v>5</v>
      </c>
      <c r="F8" s="43">
        <v>6</v>
      </c>
      <c r="G8" s="44">
        <v>7</v>
      </c>
      <c r="H8" s="44">
        <v>8</v>
      </c>
      <c r="I8" s="93" t="s">
        <v>259</v>
      </c>
      <c r="J8" s="93" t="s">
        <v>49</v>
      </c>
      <c r="K8" s="93" t="s">
        <v>50</v>
      </c>
      <c r="L8" s="93" t="s">
        <v>51</v>
      </c>
      <c r="M8" s="93" t="s">
        <v>260</v>
      </c>
      <c r="N8" s="93" t="s">
        <v>261</v>
      </c>
      <c r="O8" s="93" t="s">
        <v>262</v>
      </c>
      <c r="P8" s="93" t="s">
        <v>263</v>
      </c>
      <c r="Q8" s="93"/>
      <c r="R8" s="44">
        <v>10</v>
      </c>
      <c r="S8" s="44">
        <v>11</v>
      </c>
      <c r="T8" s="187" t="s">
        <v>264</v>
      </c>
      <c r="U8" s="187" t="s">
        <v>265</v>
      </c>
      <c r="V8" s="187" t="s">
        <v>266</v>
      </c>
      <c r="W8" s="80">
        <v>15</v>
      </c>
      <c r="X8" s="44">
        <v>16</v>
      </c>
      <c r="Y8" s="44">
        <v>17</v>
      </c>
      <c r="Z8" s="44">
        <v>18</v>
      </c>
      <c r="AA8" s="44">
        <v>19</v>
      </c>
      <c r="AB8" s="44">
        <v>20</v>
      </c>
      <c r="AC8" s="44">
        <v>21</v>
      </c>
      <c r="AD8" s="44">
        <v>22</v>
      </c>
      <c r="AE8" s="44">
        <v>23</v>
      </c>
      <c r="AF8" s="44">
        <v>24</v>
      </c>
      <c r="AG8" s="44">
        <v>25</v>
      </c>
    </row>
    <row r="9" spans="1:34" ht="18.75">
      <c r="A9" s="136" t="s">
        <v>52</v>
      </c>
      <c r="B9" s="137">
        <v>100</v>
      </c>
      <c r="C9" s="137"/>
      <c r="D9" s="137"/>
      <c r="E9" s="138"/>
      <c r="F9" s="139">
        <f>F11+F15+F19+F20+F21+F23</f>
        <v>54886374.09</v>
      </c>
      <c r="G9" s="193">
        <f aca="true" t="shared" si="0" ref="G9:V9">G11+G15+G19+G20+G21+G23</f>
        <v>34592914</v>
      </c>
      <c r="H9" s="139">
        <f t="shared" si="0"/>
        <v>0</v>
      </c>
      <c r="I9" s="139">
        <f t="shared" si="0"/>
        <v>16275543.39</v>
      </c>
      <c r="J9" s="193">
        <f t="shared" si="0"/>
        <v>2607401.84</v>
      </c>
      <c r="K9" s="193">
        <f t="shared" si="0"/>
        <v>11124691.97</v>
      </c>
      <c r="L9" s="193">
        <f t="shared" si="0"/>
        <v>398920.34</v>
      </c>
      <c r="M9" s="193">
        <f t="shared" si="0"/>
        <v>1173334.24</v>
      </c>
      <c r="N9" s="139">
        <f t="shared" si="0"/>
        <v>64290</v>
      </c>
      <c r="O9" s="139">
        <f t="shared" si="0"/>
        <v>549293</v>
      </c>
      <c r="P9" s="139">
        <f t="shared" si="0"/>
        <v>99612</v>
      </c>
      <c r="Q9" s="139">
        <f t="shared" si="0"/>
        <v>258000</v>
      </c>
      <c r="R9" s="139">
        <f t="shared" si="0"/>
        <v>0</v>
      </c>
      <c r="S9" s="139">
        <f t="shared" si="0"/>
        <v>4017916.6999999997</v>
      </c>
      <c r="T9" s="139">
        <f>T11+T15+T19+T20+T21+T23</f>
        <v>2108078.28</v>
      </c>
      <c r="U9" s="139">
        <f t="shared" si="0"/>
        <v>1859838.42</v>
      </c>
      <c r="V9" s="139">
        <f t="shared" si="0"/>
        <v>50000</v>
      </c>
      <c r="W9" s="81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39"/>
    </row>
    <row r="10" spans="1:34" ht="18.75">
      <c r="A10" s="136" t="s">
        <v>7</v>
      </c>
      <c r="B10" s="140"/>
      <c r="C10" s="140"/>
      <c r="D10" s="140"/>
      <c r="E10" s="141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82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39"/>
    </row>
    <row r="11" spans="1:34" ht="18.75">
      <c r="A11" s="136" t="s">
        <v>53</v>
      </c>
      <c r="B11" s="140">
        <v>110</v>
      </c>
      <c r="C11" s="140">
        <v>120</v>
      </c>
      <c r="D11" s="140"/>
      <c r="E11" s="141"/>
      <c r="F11" s="139">
        <f>F13+F14</f>
        <v>0</v>
      </c>
      <c r="G11" s="139">
        <f aca="true" t="shared" si="1" ref="G11:V11">G13+G14</f>
        <v>0</v>
      </c>
      <c r="H11" s="139">
        <f t="shared" si="1"/>
        <v>0</v>
      </c>
      <c r="I11" s="139">
        <f t="shared" si="1"/>
        <v>0</v>
      </c>
      <c r="J11" s="139">
        <f t="shared" si="1"/>
        <v>0</v>
      </c>
      <c r="K11" s="139">
        <f t="shared" si="1"/>
        <v>0</v>
      </c>
      <c r="L11" s="139">
        <f t="shared" si="1"/>
        <v>0</v>
      </c>
      <c r="M11" s="139">
        <f t="shared" si="1"/>
        <v>0</v>
      </c>
      <c r="N11" s="139">
        <f t="shared" si="1"/>
        <v>0</v>
      </c>
      <c r="O11" s="139">
        <f t="shared" si="1"/>
        <v>0</v>
      </c>
      <c r="P11" s="139">
        <f t="shared" si="1"/>
        <v>0</v>
      </c>
      <c r="Q11" s="139">
        <f t="shared" si="1"/>
        <v>0</v>
      </c>
      <c r="R11" s="139">
        <f t="shared" si="1"/>
        <v>0</v>
      </c>
      <c r="S11" s="139">
        <f t="shared" si="1"/>
        <v>0</v>
      </c>
      <c r="T11" s="139">
        <f t="shared" si="1"/>
        <v>0</v>
      </c>
      <c r="U11" s="139">
        <f t="shared" si="1"/>
        <v>0</v>
      </c>
      <c r="V11" s="139">
        <f t="shared" si="1"/>
        <v>0</v>
      </c>
      <c r="W11" s="82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39"/>
    </row>
    <row r="12" spans="1:34" ht="18.75">
      <c r="A12" s="136" t="s">
        <v>54</v>
      </c>
      <c r="B12" s="140"/>
      <c r="C12" s="140"/>
      <c r="D12" s="140"/>
      <c r="E12" s="141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82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39"/>
    </row>
    <row r="13" spans="1:34" ht="18.75">
      <c r="A13" s="136"/>
      <c r="B13" s="140">
        <v>111</v>
      </c>
      <c r="C13" s="140"/>
      <c r="D13" s="140"/>
      <c r="E13" s="141"/>
      <c r="F13" s="139">
        <f>G13+H13+I13+R13+S13</f>
        <v>0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>
        <f>T13+U13+V13</f>
        <v>0</v>
      </c>
      <c r="T13" s="139"/>
      <c r="U13" s="139"/>
      <c r="V13" s="139"/>
      <c r="W13" s="82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39"/>
    </row>
    <row r="14" spans="1:34" ht="18.75">
      <c r="A14" s="136"/>
      <c r="B14" s="140">
        <v>112</v>
      </c>
      <c r="C14" s="140"/>
      <c r="D14" s="140"/>
      <c r="E14" s="141"/>
      <c r="F14" s="139">
        <f>G14+H14+I14+R14+S14</f>
        <v>0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>
        <f>T14+U14+V14</f>
        <v>0</v>
      </c>
      <c r="T14" s="139"/>
      <c r="U14" s="139"/>
      <c r="V14" s="139"/>
      <c r="W14" s="82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39"/>
    </row>
    <row r="15" spans="1:34" ht="18.75">
      <c r="A15" s="136" t="s">
        <v>55</v>
      </c>
      <c r="B15" s="142">
        <v>120</v>
      </c>
      <c r="C15" s="142">
        <v>130</v>
      </c>
      <c r="D15" s="142"/>
      <c r="E15" s="141"/>
      <c r="F15" s="139">
        <f>F17+F18</f>
        <v>38610830.7</v>
      </c>
      <c r="G15" s="139">
        <f aca="true" t="shared" si="2" ref="G15:V15">G17+G18</f>
        <v>34592914</v>
      </c>
      <c r="H15" s="139">
        <f t="shared" si="2"/>
        <v>0</v>
      </c>
      <c r="I15" s="139">
        <f t="shared" si="2"/>
        <v>0</v>
      </c>
      <c r="J15" s="139">
        <f t="shared" si="2"/>
        <v>0</v>
      </c>
      <c r="K15" s="139">
        <f t="shared" si="2"/>
        <v>0</v>
      </c>
      <c r="L15" s="139">
        <f t="shared" si="2"/>
        <v>0</v>
      </c>
      <c r="M15" s="139">
        <f t="shared" si="2"/>
        <v>0</v>
      </c>
      <c r="N15" s="139">
        <f t="shared" si="2"/>
        <v>0</v>
      </c>
      <c r="O15" s="139">
        <f t="shared" si="2"/>
        <v>0</v>
      </c>
      <c r="P15" s="139">
        <f t="shared" si="2"/>
        <v>0</v>
      </c>
      <c r="Q15" s="139">
        <f t="shared" si="2"/>
        <v>0</v>
      </c>
      <c r="R15" s="139">
        <f t="shared" si="2"/>
        <v>0</v>
      </c>
      <c r="S15" s="139">
        <f t="shared" si="2"/>
        <v>4017916.6999999997</v>
      </c>
      <c r="T15" s="139">
        <f t="shared" si="2"/>
        <v>2108078.28</v>
      </c>
      <c r="U15" s="139">
        <f t="shared" si="2"/>
        <v>1859838.42</v>
      </c>
      <c r="V15" s="139">
        <f t="shared" si="2"/>
        <v>50000</v>
      </c>
      <c r="W15" s="83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39"/>
    </row>
    <row r="16" spans="1:34" ht="18.75">
      <c r="A16" s="136" t="s">
        <v>7</v>
      </c>
      <c r="B16" s="142"/>
      <c r="C16" s="142"/>
      <c r="D16" s="142"/>
      <c r="E16" s="141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83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39"/>
    </row>
    <row r="17" spans="1:34" ht="18.75">
      <c r="A17" s="136" t="s">
        <v>101</v>
      </c>
      <c r="B17" s="142">
        <v>121</v>
      </c>
      <c r="C17" s="142">
        <v>131</v>
      </c>
      <c r="D17" s="142"/>
      <c r="E17" s="141"/>
      <c r="F17" s="139">
        <f>G17</f>
        <v>34592914</v>
      </c>
      <c r="G17" s="139">
        <v>34592914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>
        <f>T17+U17+V17</f>
        <v>0</v>
      </c>
      <c r="T17" s="139"/>
      <c r="U17" s="139"/>
      <c r="V17" s="139"/>
      <c r="W17" s="135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39"/>
    </row>
    <row r="18" spans="1:34" ht="47.25">
      <c r="A18" s="136" t="s">
        <v>102</v>
      </c>
      <c r="B18" s="142">
        <v>122</v>
      </c>
      <c r="C18" s="142">
        <v>131</v>
      </c>
      <c r="D18" s="142"/>
      <c r="E18" s="141"/>
      <c r="F18" s="139">
        <f>S18</f>
        <v>4017916.6999999997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>
        <f>T18+U18+V18</f>
        <v>4017916.6999999997</v>
      </c>
      <c r="T18" s="139">
        <v>2108078.28</v>
      </c>
      <c r="U18" s="139">
        <v>1859838.42</v>
      </c>
      <c r="V18" s="139">
        <v>50000</v>
      </c>
      <c r="W18" s="83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39"/>
    </row>
    <row r="19" spans="1:34" ht="31.5">
      <c r="A19" s="136" t="s">
        <v>56</v>
      </c>
      <c r="B19" s="142">
        <v>130</v>
      </c>
      <c r="C19" s="142">
        <v>140</v>
      </c>
      <c r="D19" s="142"/>
      <c r="E19" s="138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51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39"/>
    </row>
    <row r="20" spans="1:34" ht="47.25">
      <c r="A20" s="136" t="s">
        <v>57</v>
      </c>
      <c r="B20" s="142">
        <v>140</v>
      </c>
      <c r="C20" s="142">
        <v>152</v>
      </c>
      <c r="D20" s="142"/>
      <c r="E20" s="138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54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39"/>
    </row>
    <row r="21" spans="1:34" ht="25.5" customHeight="1">
      <c r="A21" s="136" t="s">
        <v>58</v>
      </c>
      <c r="B21" s="142">
        <v>150</v>
      </c>
      <c r="C21" s="142">
        <v>183</v>
      </c>
      <c r="D21" s="142"/>
      <c r="E21" s="138"/>
      <c r="F21" s="139">
        <f>I21</f>
        <v>16275543.39</v>
      </c>
      <c r="G21" s="139"/>
      <c r="H21" s="139"/>
      <c r="I21" s="139">
        <f>J21+K21+L21+M21+N21+O21+P21+Q21</f>
        <v>16275543.39</v>
      </c>
      <c r="J21" s="139">
        <v>2607401.84</v>
      </c>
      <c r="K21" s="139">
        <v>11124691.97</v>
      </c>
      <c r="L21" s="139">
        <v>398920.34</v>
      </c>
      <c r="M21" s="139">
        <v>1173334.24</v>
      </c>
      <c r="N21" s="139">
        <v>64290</v>
      </c>
      <c r="O21" s="139">
        <v>549293</v>
      </c>
      <c r="P21" s="139">
        <v>99612</v>
      </c>
      <c r="Q21" s="139">
        <v>258000</v>
      </c>
      <c r="R21" s="139"/>
      <c r="S21" s="139"/>
      <c r="T21" s="139"/>
      <c r="U21" s="139"/>
      <c r="V21" s="139"/>
      <c r="W21" s="51"/>
      <c r="X21" s="51"/>
      <c r="Y21" s="48"/>
      <c r="Z21" s="48"/>
      <c r="AA21" s="48"/>
      <c r="AB21" s="48"/>
      <c r="AC21" s="48"/>
      <c r="AD21" s="48"/>
      <c r="AE21" s="48"/>
      <c r="AF21" s="48"/>
      <c r="AG21" s="48"/>
      <c r="AH21" s="39"/>
    </row>
    <row r="22" spans="1:34" ht="18.75">
      <c r="A22" s="136" t="s">
        <v>59</v>
      </c>
      <c r="B22" s="142">
        <v>160</v>
      </c>
      <c r="C22" s="142">
        <v>189</v>
      </c>
      <c r="D22" s="142"/>
      <c r="E22" s="138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>
        <v>50000</v>
      </c>
      <c r="W22" s="54"/>
      <c r="X22" s="54"/>
      <c r="Y22" s="49"/>
      <c r="Z22" s="55"/>
      <c r="AA22" s="54"/>
      <c r="AB22" s="53"/>
      <c r="AC22" s="53"/>
      <c r="AD22" s="56"/>
      <c r="AE22" s="49"/>
      <c r="AF22" s="53"/>
      <c r="AG22" s="55"/>
      <c r="AH22" s="39"/>
    </row>
    <row r="23" spans="1:34" ht="18.75">
      <c r="A23" s="136" t="s">
        <v>60</v>
      </c>
      <c r="B23" s="142">
        <v>180</v>
      </c>
      <c r="C23" s="142" t="s">
        <v>62</v>
      </c>
      <c r="D23" s="142"/>
      <c r="E23" s="138"/>
      <c r="F23" s="139">
        <f>F25+F26</f>
        <v>0</v>
      </c>
      <c r="G23" s="139">
        <f aca="true" t="shared" si="3" ref="G23:V23">G25+G26</f>
        <v>0</v>
      </c>
      <c r="H23" s="139">
        <f t="shared" si="3"/>
        <v>0</v>
      </c>
      <c r="I23" s="139">
        <f t="shared" si="3"/>
        <v>0</v>
      </c>
      <c r="J23" s="139">
        <f t="shared" si="3"/>
        <v>0</v>
      </c>
      <c r="K23" s="139">
        <f t="shared" si="3"/>
        <v>0</v>
      </c>
      <c r="L23" s="139">
        <f t="shared" si="3"/>
        <v>0</v>
      </c>
      <c r="M23" s="139">
        <f t="shared" si="3"/>
        <v>0</v>
      </c>
      <c r="N23" s="139">
        <f t="shared" si="3"/>
        <v>0</v>
      </c>
      <c r="O23" s="139">
        <f t="shared" si="3"/>
        <v>0</v>
      </c>
      <c r="P23" s="139">
        <f t="shared" si="3"/>
        <v>0</v>
      </c>
      <c r="Q23" s="139">
        <f t="shared" si="3"/>
        <v>0</v>
      </c>
      <c r="R23" s="139">
        <f t="shared" si="3"/>
        <v>0</v>
      </c>
      <c r="S23" s="139">
        <f t="shared" si="3"/>
        <v>0</v>
      </c>
      <c r="T23" s="139">
        <f t="shared" si="3"/>
        <v>0</v>
      </c>
      <c r="U23" s="139">
        <f t="shared" si="3"/>
        <v>0</v>
      </c>
      <c r="V23" s="139">
        <f t="shared" si="3"/>
        <v>0</v>
      </c>
      <c r="W23" s="54"/>
      <c r="X23" s="54"/>
      <c r="Y23" s="49"/>
      <c r="Z23" s="55"/>
      <c r="AA23" s="54"/>
      <c r="AB23" s="53"/>
      <c r="AC23" s="53"/>
      <c r="AD23" s="56"/>
      <c r="AE23" s="49"/>
      <c r="AF23" s="53"/>
      <c r="AG23" s="55"/>
      <c r="AH23" s="39"/>
    </row>
    <row r="24" spans="1:34" ht="18.75">
      <c r="A24" s="136" t="s">
        <v>61</v>
      </c>
      <c r="B24" s="142"/>
      <c r="C24" s="142"/>
      <c r="D24" s="142"/>
      <c r="E24" s="136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54"/>
      <c r="X24" s="54"/>
      <c r="Y24" s="49"/>
      <c r="Z24" s="55"/>
      <c r="AA24" s="54"/>
      <c r="AB24" s="53"/>
      <c r="AC24" s="53"/>
      <c r="AD24" s="56"/>
      <c r="AE24" s="49"/>
      <c r="AF24" s="53"/>
      <c r="AG24" s="55"/>
      <c r="AH24" s="39"/>
    </row>
    <row r="25" spans="1:34" ht="18.75">
      <c r="A25" s="136"/>
      <c r="B25" s="142">
        <v>181</v>
      </c>
      <c r="C25" s="142"/>
      <c r="D25" s="142"/>
      <c r="E25" s="138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>
        <f>T25+U25+V25</f>
        <v>0</v>
      </c>
      <c r="T25" s="139"/>
      <c r="U25" s="139"/>
      <c r="V25" s="139"/>
      <c r="W25" s="54"/>
      <c r="X25" s="54"/>
      <c r="Y25" s="49"/>
      <c r="Z25" s="55"/>
      <c r="AA25" s="54"/>
      <c r="AB25" s="53"/>
      <c r="AC25" s="53"/>
      <c r="AD25" s="56"/>
      <c r="AE25" s="49"/>
      <c r="AF25" s="53"/>
      <c r="AG25" s="55"/>
      <c r="AH25" s="39"/>
    </row>
    <row r="26" spans="1:34" ht="18.75">
      <c r="A26" s="136"/>
      <c r="B26" s="142">
        <v>182</v>
      </c>
      <c r="C26" s="142"/>
      <c r="D26" s="142"/>
      <c r="E26" s="138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>
        <f>T26+U26+V26</f>
        <v>0</v>
      </c>
      <c r="T26" s="139"/>
      <c r="U26" s="139"/>
      <c r="V26" s="139"/>
      <c r="W26" s="54"/>
      <c r="X26" s="54"/>
      <c r="Y26" s="49"/>
      <c r="Z26" s="55"/>
      <c r="AA26" s="54"/>
      <c r="AB26" s="53"/>
      <c r="AC26" s="53"/>
      <c r="AD26" s="56"/>
      <c r="AE26" s="49"/>
      <c r="AF26" s="53"/>
      <c r="AG26" s="55"/>
      <c r="AH26" s="39"/>
    </row>
    <row r="27" spans="1:34" ht="18.75">
      <c r="A27" s="136" t="s">
        <v>63</v>
      </c>
      <c r="B27" s="142">
        <v>200</v>
      </c>
      <c r="C27" s="142" t="s">
        <v>62</v>
      </c>
      <c r="D27" s="142"/>
      <c r="E27" s="138"/>
      <c r="F27" s="139">
        <f aca="true" t="shared" si="4" ref="F27:V27">F30+F39++F43+F50+F51+F56</f>
        <v>54669864.199999996</v>
      </c>
      <c r="G27" s="139">
        <f t="shared" si="4"/>
        <v>34592914</v>
      </c>
      <c r="H27" s="139">
        <f t="shared" si="4"/>
        <v>0</v>
      </c>
      <c r="I27" s="139">
        <f t="shared" si="4"/>
        <v>16275543.39</v>
      </c>
      <c r="J27" s="139">
        <f t="shared" si="4"/>
        <v>2607401.84</v>
      </c>
      <c r="K27" s="139">
        <f t="shared" si="4"/>
        <v>11124691.969999999</v>
      </c>
      <c r="L27" s="139">
        <f t="shared" si="4"/>
        <v>398920.34</v>
      </c>
      <c r="M27" s="139">
        <f>M30+M39++M43+M50+M51+M56</f>
        <v>1173334.24</v>
      </c>
      <c r="N27" s="139">
        <f t="shared" si="4"/>
        <v>64290</v>
      </c>
      <c r="O27" s="139">
        <f t="shared" si="4"/>
        <v>549293</v>
      </c>
      <c r="P27" s="139">
        <f t="shared" si="4"/>
        <v>99612</v>
      </c>
      <c r="Q27" s="139">
        <f t="shared" si="4"/>
        <v>258000</v>
      </c>
      <c r="R27" s="139">
        <f t="shared" si="4"/>
        <v>0</v>
      </c>
      <c r="S27" s="139">
        <f t="shared" si="4"/>
        <v>3801406.81</v>
      </c>
      <c r="T27" s="139">
        <f t="shared" si="4"/>
        <v>2108078.2800000003</v>
      </c>
      <c r="U27" s="139">
        <f t="shared" si="4"/>
        <v>1653328.5299999998</v>
      </c>
      <c r="V27" s="139">
        <f t="shared" si="4"/>
        <v>40000</v>
      </c>
      <c r="W27" s="52"/>
      <c r="X27" s="51"/>
      <c r="Y27" s="48"/>
      <c r="Z27" s="56"/>
      <c r="AA27" s="51"/>
      <c r="AB27" s="50"/>
      <c r="AC27" s="50"/>
      <c r="AD27" s="56"/>
      <c r="AE27" s="48"/>
      <c r="AF27" s="50"/>
      <c r="AG27" s="56"/>
      <c r="AH27" s="39"/>
    </row>
    <row r="28" spans="1:34" ht="18.75">
      <c r="A28" s="136" t="s">
        <v>7</v>
      </c>
      <c r="B28" s="143"/>
      <c r="C28" s="143"/>
      <c r="D28" s="143"/>
      <c r="E28" s="138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61"/>
      <c r="X28" s="57"/>
      <c r="Y28" s="58"/>
      <c r="Z28" s="59"/>
      <c r="AA28" s="57"/>
      <c r="AB28" s="60"/>
      <c r="AC28" s="60"/>
      <c r="AD28" s="59"/>
      <c r="AE28" s="58"/>
      <c r="AF28" s="60"/>
      <c r="AG28" s="59"/>
      <c r="AH28" s="39"/>
    </row>
    <row r="29" spans="1:34" ht="18.75">
      <c r="A29" s="136"/>
      <c r="B29" s="143"/>
      <c r="C29" s="143"/>
      <c r="D29" s="143"/>
      <c r="E29" s="141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57"/>
      <c r="X29" s="57"/>
      <c r="Y29" s="58"/>
      <c r="Z29" s="59"/>
      <c r="AA29" s="57"/>
      <c r="AB29" s="60"/>
      <c r="AC29" s="60"/>
      <c r="AD29" s="59"/>
      <c r="AE29" s="58"/>
      <c r="AF29" s="60"/>
      <c r="AG29" s="59"/>
      <c r="AH29" s="39"/>
    </row>
    <row r="30" spans="1:34" ht="18.75">
      <c r="A30" s="136" t="s">
        <v>64</v>
      </c>
      <c r="B30" s="140">
        <v>210</v>
      </c>
      <c r="C30" s="140">
        <v>210</v>
      </c>
      <c r="D30" s="140"/>
      <c r="E30" s="138"/>
      <c r="F30" s="139">
        <f>F32</f>
        <v>50941334.74999999</v>
      </c>
      <c r="G30" s="139">
        <f aca="true" t="shared" si="5" ref="G30:V30">G32</f>
        <v>33645909</v>
      </c>
      <c r="H30" s="139">
        <f t="shared" si="5"/>
        <v>0</v>
      </c>
      <c r="I30" s="139">
        <f t="shared" si="5"/>
        <v>15290548.39</v>
      </c>
      <c r="J30" s="139">
        <f t="shared" si="5"/>
        <v>2593601.84</v>
      </c>
      <c r="K30" s="139">
        <f t="shared" si="5"/>
        <v>11124691.969999999</v>
      </c>
      <c r="L30" s="139">
        <f t="shared" si="5"/>
        <v>398920.34</v>
      </c>
      <c r="M30" s="139">
        <f t="shared" si="5"/>
        <v>1173334.24</v>
      </c>
      <c r="N30" s="139">
        <f t="shared" si="5"/>
        <v>0</v>
      </c>
      <c r="O30" s="139">
        <f t="shared" si="5"/>
        <v>0</v>
      </c>
      <c r="P30" s="139">
        <f t="shared" si="5"/>
        <v>0</v>
      </c>
      <c r="Q30" s="139">
        <f t="shared" si="5"/>
        <v>0</v>
      </c>
      <c r="R30" s="139">
        <f t="shared" si="5"/>
        <v>0</v>
      </c>
      <c r="S30" s="139">
        <f t="shared" si="5"/>
        <v>2004877.36</v>
      </c>
      <c r="T30" s="139">
        <f t="shared" si="5"/>
        <v>1038538.76</v>
      </c>
      <c r="U30" s="139">
        <f t="shared" si="5"/>
        <v>966338.6</v>
      </c>
      <c r="V30" s="139">
        <f t="shared" si="5"/>
        <v>0</v>
      </c>
      <c r="W30" s="82"/>
      <c r="X30" s="62"/>
      <c r="Y30" s="46"/>
      <c r="Z30" s="63"/>
      <c r="AA30" s="62"/>
      <c r="AB30" s="64"/>
      <c r="AC30" s="64"/>
      <c r="AD30" s="63"/>
      <c r="AE30" s="46"/>
      <c r="AF30" s="64"/>
      <c r="AG30" s="63"/>
      <c r="AH30" s="39"/>
    </row>
    <row r="31" spans="1:34" ht="18.75">
      <c r="A31" s="136" t="s">
        <v>6</v>
      </c>
      <c r="B31" s="140"/>
      <c r="C31" s="140"/>
      <c r="D31" s="140"/>
      <c r="E31" s="138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82"/>
      <c r="X31" s="62"/>
      <c r="Y31" s="46"/>
      <c r="Z31" s="63"/>
      <c r="AA31" s="62"/>
      <c r="AB31" s="64"/>
      <c r="AC31" s="64"/>
      <c r="AD31" s="63"/>
      <c r="AE31" s="46"/>
      <c r="AF31" s="64"/>
      <c r="AG31" s="63"/>
      <c r="AH31" s="39"/>
    </row>
    <row r="32" spans="1:34" ht="31.5">
      <c r="A32" s="136" t="s">
        <v>65</v>
      </c>
      <c r="B32" s="140">
        <v>211</v>
      </c>
      <c r="C32" s="140">
        <v>210</v>
      </c>
      <c r="D32" s="140"/>
      <c r="E32" s="141"/>
      <c r="F32" s="139">
        <f>F34+F35+F36+F37+F38</f>
        <v>50941334.74999999</v>
      </c>
      <c r="G32" s="139">
        <f>G34+G36+G38</f>
        <v>33645909</v>
      </c>
      <c r="H32" s="139">
        <f>H34+H36+H38</f>
        <v>0</v>
      </c>
      <c r="I32" s="139">
        <f>I34+I35+I36+I37+I38</f>
        <v>15290548.39</v>
      </c>
      <c r="J32" s="139">
        <f>J34+J35+J36+J37+J38</f>
        <v>2593601.84</v>
      </c>
      <c r="K32" s="139">
        <f>K34+K35+K36+K37+K38</f>
        <v>11124691.969999999</v>
      </c>
      <c r="L32" s="139">
        <f>L34+L35+L36+L37+L38</f>
        <v>398920.34</v>
      </c>
      <c r="M32" s="139">
        <f>M34+M35+M36+M37+M38</f>
        <v>1173334.24</v>
      </c>
      <c r="N32" s="139">
        <f aca="true" t="shared" si="6" ref="N32:V32">N34+N36+N38</f>
        <v>0</v>
      </c>
      <c r="O32" s="139">
        <f t="shared" si="6"/>
        <v>0</v>
      </c>
      <c r="P32" s="139">
        <f t="shared" si="6"/>
        <v>0</v>
      </c>
      <c r="Q32" s="139">
        <f t="shared" si="6"/>
        <v>0</v>
      </c>
      <c r="R32" s="139">
        <f t="shared" si="6"/>
        <v>0</v>
      </c>
      <c r="S32" s="139">
        <f t="shared" si="6"/>
        <v>2004877.36</v>
      </c>
      <c r="T32" s="139">
        <f t="shared" si="6"/>
        <v>1038538.76</v>
      </c>
      <c r="U32" s="139">
        <f t="shared" si="6"/>
        <v>966338.6</v>
      </c>
      <c r="V32" s="139">
        <f t="shared" si="6"/>
        <v>0</v>
      </c>
      <c r="W32" s="62"/>
      <c r="X32" s="62"/>
      <c r="Y32" s="46"/>
      <c r="Z32" s="63"/>
      <c r="AA32" s="62"/>
      <c r="AB32" s="64"/>
      <c r="AC32" s="64"/>
      <c r="AD32" s="63"/>
      <c r="AE32" s="46"/>
      <c r="AF32" s="64"/>
      <c r="AG32" s="63"/>
      <c r="AH32" s="39"/>
    </row>
    <row r="33" spans="1:34" ht="18.75">
      <c r="A33" s="136" t="s">
        <v>6</v>
      </c>
      <c r="B33" s="140"/>
      <c r="C33" s="189"/>
      <c r="D33" s="140"/>
      <c r="E33" s="141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62"/>
      <c r="X33" s="62"/>
      <c r="Y33" s="46"/>
      <c r="Z33" s="63"/>
      <c r="AA33" s="62"/>
      <c r="AB33" s="64"/>
      <c r="AC33" s="64"/>
      <c r="AD33" s="63"/>
      <c r="AE33" s="46"/>
      <c r="AF33" s="64"/>
      <c r="AG33" s="63"/>
      <c r="AH33" s="39"/>
    </row>
    <row r="34" spans="1:34" ht="18.75">
      <c r="A34" s="136" t="s">
        <v>66</v>
      </c>
      <c r="B34" s="140">
        <v>212</v>
      </c>
      <c r="C34" s="190" t="s">
        <v>269</v>
      </c>
      <c r="D34" s="189" t="s">
        <v>287</v>
      </c>
      <c r="E34" s="141"/>
      <c r="F34" s="139">
        <f aca="true" t="shared" si="7" ref="F34:F39">G34+H34+I34+R34+S34</f>
        <v>36878033.269999996</v>
      </c>
      <c r="G34" s="139">
        <v>25824917.04</v>
      </c>
      <c r="H34" s="139"/>
      <c r="I34" s="139">
        <f>J34+K34+L34+M34+N34+O34+P34</f>
        <v>9681457.2</v>
      </c>
      <c r="J34" s="139"/>
      <c r="K34" s="139">
        <v>8544310.26</v>
      </c>
      <c r="L34" s="139">
        <v>249478.53</v>
      </c>
      <c r="M34" s="139">
        <v>887668.41</v>
      </c>
      <c r="N34" s="139"/>
      <c r="O34" s="139"/>
      <c r="P34" s="139"/>
      <c r="Q34" s="139"/>
      <c r="R34" s="139"/>
      <c r="S34" s="139">
        <f>T34+U34+V34</f>
        <v>1371659.03</v>
      </c>
      <c r="T34" s="193">
        <v>797159.03</v>
      </c>
      <c r="U34" s="139">
        <v>574500</v>
      </c>
      <c r="V34" s="139"/>
      <c r="W34" s="62"/>
      <c r="X34" s="62"/>
      <c r="Y34" s="46"/>
      <c r="Z34" s="63"/>
      <c r="AA34" s="62"/>
      <c r="AB34" s="64"/>
      <c r="AC34" s="64"/>
      <c r="AD34" s="63"/>
      <c r="AE34" s="46"/>
      <c r="AF34" s="64"/>
      <c r="AG34" s="63"/>
      <c r="AH34" s="39"/>
    </row>
    <row r="35" spans="1:34" ht="18.75">
      <c r="A35" s="136" t="s">
        <v>66</v>
      </c>
      <c r="B35" s="140"/>
      <c r="C35" s="190" t="s">
        <v>270</v>
      </c>
      <c r="D35" s="189" t="s">
        <v>287</v>
      </c>
      <c r="E35" s="141"/>
      <c r="F35" s="139">
        <f t="shared" si="7"/>
        <v>2059671.12</v>
      </c>
      <c r="G35" s="139"/>
      <c r="H35" s="139"/>
      <c r="I35" s="139">
        <f>J35+K35+L35+M35+N35+O35+P35</f>
        <v>2059671.12</v>
      </c>
      <c r="J35" s="139">
        <v>1989249.12</v>
      </c>
      <c r="K35" s="139"/>
      <c r="L35" s="139">
        <v>56912</v>
      </c>
      <c r="M35" s="139">
        <v>13510</v>
      </c>
      <c r="N35" s="139"/>
      <c r="O35" s="139"/>
      <c r="P35" s="139"/>
      <c r="Q35" s="139"/>
      <c r="R35" s="139"/>
      <c r="S35" s="139"/>
      <c r="T35" s="193"/>
      <c r="U35" s="139"/>
      <c r="V35" s="139"/>
      <c r="W35" s="62"/>
      <c r="X35" s="62"/>
      <c r="Y35" s="46"/>
      <c r="Z35" s="63"/>
      <c r="AA35" s="62"/>
      <c r="AB35" s="64"/>
      <c r="AC35" s="64"/>
      <c r="AD35" s="63"/>
      <c r="AE35" s="46"/>
      <c r="AF35" s="64"/>
      <c r="AG35" s="63"/>
      <c r="AH35" s="39"/>
    </row>
    <row r="36" spans="1:34" ht="18.75">
      <c r="A36" s="136" t="s">
        <v>13</v>
      </c>
      <c r="B36" s="140">
        <v>213</v>
      </c>
      <c r="C36" s="190" t="s">
        <v>271</v>
      </c>
      <c r="D36" s="189" t="s">
        <v>287</v>
      </c>
      <c r="E36" s="141"/>
      <c r="F36" s="139">
        <f t="shared" si="7"/>
        <v>11156630.64</v>
      </c>
      <c r="G36" s="139">
        <v>7817491.96</v>
      </c>
      <c r="H36" s="139"/>
      <c r="I36" s="139">
        <f>J36+K36+L36+M36+N36+O36+P36</f>
        <v>2923800.35</v>
      </c>
      <c r="J36" s="139"/>
      <c r="K36" s="139">
        <v>2580381.71</v>
      </c>
      <c r="L36" s="139">
        <v>75342.81</v>
      </c>
      <c r="M36" s="139">
        <v>268075.83</v>
      </c>
      <c r="N36" s="139"/>
      <c r="O36" s="139"/>
      <c r="P36" s="139"/>
      <c r="Q36" s="139"/>
      <c r="R36" s="139"/>
      <c r="S36" s="139">
        <f>T36+U36+V36</f>
        <v>415338.33</v>
      </c>
      <c r="T36" s="193">
        <v>241379.73</v>
      </c>
      <c r="U36" s="139">
        <v>173958.6</v>
      </c>
      <c r="V36" s="139"/>
      <c r="W36" s="62"/>
      <c r="X36" s="62"/>
      <c r="Y36" s="46"/>
      <c r="Z36" s="63"/>
      <c r="AA36" s="62"/>
      <c r="AB36" s="64"/>
      <c r="AC36" s="64"/>
      <c r="AD36" s="63"/>
      <c r="AE36" s="46"/>
      <c r="AF36" s="64"/>
      <c r="AG36" s="63"/>
      <c r="AH36" s="39"/>
    </row>
    <row r="37" spans="1:34" ht="18.75">
      <c r="A37" s="136" t="s">
        <v>13</v>
      </c>
      <c r="B37" s="140"/>
      <c r="C37" s="190" t="s">
        <v>272</v>
      </c>
      <c r="D37" s="189" t="s">
        <v>287</v>
      </c>
      <c r="E37" s="141"/>
      <c r="F37" s="139">
        <f t="shared" si="7"/>
        <v>622019.72</v>
      </c>
      <c r="G37" s="139"/>
      <c r="H37" s="139"/>
      <c r="I37" s="139">
        <f>J37+K37+L37+M37+N37+O37+P37</f>
        <v>622019.72</v>
      </c>
      <c r="J37" s="139">
        <v>600752.72</v>
      </c>
      <c r="K37" s="139"/>
      <c r="L37" s="139">
        <v>17187</v>
      </c>
      <c r="M37" s="139">
        <v>4080</v>
      </c>
      <c r="N37" s="139"/>
      <c r="O37" s="139"/>
      <c r="P37" s="139"/>
      <c r="Q37" s="139"/>
      <c r="R37" s="139"/>
      <c r="S37" s="139"/>
      <c r="T37" s="193"/>
      <c r="U37" s="139"/>
      <c r="V37" s="139"/>
      <c r="W37" s="62"/>
      <c r="X37" s="62"/>
      <c r="Y37" s="46"/>
      <c r="Z37" s="63"/>
      <c r="AA37" s="62"/>
      <c r="AB37" s="64"/>
      <c r="AC37" s="64"/>
      <c r="AD37" s="63"/>
      <c r="AE37" s="46"/>
      <c r="AF37" s="64"/>
      <c r="AG37" s="63"/>
      <c r="AH37" s="39"/>
    </row>
    <row r="38" spans="1:34" ht="18.75">
      <c r="A38" s="136" t="s">
        <v>12</v>
      </c>
      <c r="B38" s="140">
        <v>214</v>
      </c>
      <c r="C38" s="190" t="s">
        <v>273</v>
      </c>
      <c r="D38" s="189" t="s">
        <v>292</v>
      </c>
      <c r="E38" s="138"/>
      <c r="F38" s="139">
        <f t="shared" si="7"/>
        <v>224980</v>
      </c>
      <c r="G38" s="139">
        <v>3500</v>
      </c>
      <c r="H38" s="139"/>
      <c r="I38" s="139">
        <f>J38+K38+L38+M38+N38+O38+P38</f>
        <v>3600</v>
      </c>
      <c r="J38" s="139">
        <v>3600</v>
      </c>
      <c r="K38" s="139"/>
      <c r="L38" s="139"/>
      <c r="M38" s="139"/>
      <c r="N38" s="139"/>
      <c r="O38" s="139"/>
      <c r="P38" s="139"/>
      <c r="Q38" s="139"/>
      <c r="R38" s="139"/>
      <c r="S38" s="139">
        <f>T38+U38+V38</f>
        <v>217880</v>
      </c>
      <c r="T38" s="193">
        <v>0</v>
      </c>
      <c r="U38" s="139">
        <v>217880</v>
      </c>
      <c r="V38" s="139"/>
      <c r="W38" s="82"/>
      <c r="X38" s="62"/>
      <c r="Y38" s="46"/>
      <c r="Z38" s="63"/>
      <c r="AA38" s="62"/>
      <c r="AB38" s="64"/>
      <c r="AC38" s="64"/>
      <c r="AD38" s="63"/>
      <c r="AE38" s="46"/>
      <c r="AF38" s="64"/>
      <c r="AG38" s="63"/>
      <c r="AH38" s="39"/>
    </row>
    <row r="39" spans="1:34" ht="18.75">
      <c r="A39" s="136" t="s">
        <v>67</v>
      </c>
      <c r="B39" s="140">
        <v>220</v>
      </c>
      <c r="C39" s="189">
        <v>260</v>
      </c>
      <c r="D39" s="189"/>
      <c r="E39" s="138"/>
      <c r="F39" s="139">
        <f t="shared" si="7"/>
        <v>0</v>
      </c>
      <c r="G39" s="139">
        <f aca="true" t="shared" si="8" ref="G39:V39">G41+G42</f>
        <v>0</v>
      </c>
      <c r="H39" s="139">
        <f t="shared" si="8"/>
        <v>0</v>
      </c>
      <c r="I39" s="139">
        <f t="shared" si="8"/>
        <v>0</v>
      </c>
      <c r="J39" s="139">
        <f t="shared" si="8"/>
        <v>0</v>
      </c>
      <c r="K39" s="139">
        <f t="shared" si="8"/>
        <v>0</v>
      </c>
      <c r="L39" s="139">
        <f t="shared" si="8"/>
        <v>0</v>
      </c>
      <c r="M39" s="139">
        <f t="shared" si="8"/>
        <v>0</v>
      </c>
      <c r="N39" s="139">
        <f t="shared" si="8"/>
        <v>0</v>
      </c>
      <c r="O39" s="139">
        <f t="shared" si="8"/>
        <v>0</v>
      </c>
      <c r="P39" s="139">
        <f t="shared" si="8"/>
        <v>0</v>
      </c>
      <c r="Q39" s="139">
        <f t="shared" si="8"/>
        <v>0</v>
      </c>
      <c r="R39" s="139">
        <f t="shared" si="8"/>
        <v>0</v>
      </c>
      <c r="S39" s="139">
        <f t="shared" si="8"/>
        <v>0</v>
      </c>
      <c r="T39" s="193">
        <f t="shared" si="8"/>
        <v>0</v>
      </c>
      <c r="U39" s="139">
        <f t="shared" si="8"/>
        <v>0</v>
      </c>
      <c r="V39" s="139">
        <f t="shared" si="8"/>
        <v>0</v>
      </c>
      <c r="W39" s="82"/>
      <c r="X39" s="62"/>
      <c r="Y39" s="46"/>
      <c r="Z39" s="63"/>
      <c r="AA39" s="62"/>
      <c r="AB39" s="64"/>
      <c r="AC39" s="64"/>
      <c r="AD39" s="63"/>
      <c r="AE39" s="46"/>
      <c r="AF39" s="64"/>
      <c r="AG39" s="63"/>
      <c r="AH39" s="39"/>
    </row>
    <row r="40" spans="1:34" ht="18.75">
      <c r="A40" s="136" t="s">
        <v>6</v>
      </c>
      <c r="B40" s="140"/>
      <c r="C40" s="189"/>
      <c r="D40" s="189"/>
      <c r="E40" s="138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93"/>
      <c r="U40" s="139"/>
      <c r="V40" s="139"/>
      <c r="W40" s="52"/>
      <c r="X40" s="62"/>
      <c r="Y40" s="46"/>
      <c r="Z40" s="63"/>
      <c r="AA40" s="62"/>
      <c r="AB40" s="64"/>
      <c r="AC40" s="64"/>
      <c r="AD40" s="63"/>
      <c r="AE40" s="46"/>
      <c r="AF40" s="64"/>
      <c r="AG40" s="63"/>
      <c r="AH40" s="39"/>
    </row>
    <row r="41" spans="1:34" ht="18.75">
      <c r="A41" s="136"/>
      <c r="B41" s="140">
        <v>221</v>
      </c>
      <c r="C41" s="189"/>
      <c r="D41" s="189"/>
      <c r="E41" s="138"/>
      <c r="F41" s="139">
        <f>G41+H41+I41+R41+S41</f>
        <v>0</v>
      </c>
      <c r="G41" s="139"/>
      <c r="H41" s="139"/>
      <c r="I41" s="139">
        <f>J41+K41+L41+M41+N41+O41+P41</f>
        <v>0</v>
      </c>
      <c r="J41" s="139"/>
      <c r="K41" s="139"/>
      <c r="L41" s="139"/>
      <c r="M41" s="139"/>
      <c r="N41" s="139"/>
      <c r="O41" s="139"/>
      <c r="P41" s="139"/>
      <c r="Q41" s="139"/>
      <c r="R41" s="139"/>
      <c r="S41" s="139">
        <f>T41+U41+V41</f>
        <v>0</v>
      </c>
      <c r="T41" s="193"/>
      <c r="U41" s="139"/>
      <c r="V41" s="139"/>
      <c r="W41" s="52"/>
      <c r="X41" s="62"/>
      <c r="Y41" s="46"/>
      <c r="Z41" s="63"/>
      <c r="AA41" s="62"/>
      <c r="AB41" s="64"/>
      <c r="AC41" s="64"/>
      <c r="AD41" s="63"/>
      <c r="AE41" s="46"/>
      <c r="AF41" s="64"/>
      <c r="AG41" s="63"/>
      <c r="AH41" s="39"/>
    </row>
    <row r="42" spans="1:34" ht="18.75">
      <c r="A42" s="136"/>
      <c r="B42" s="140">
        <v>222</v>
      </c>
      <c r="C42" s="189"/>
      <c r="D42" s="189"/>
      <c r="E42" s="138"/>
      <c r="F42" s="139">
        <f>G42+H42+I42+R42+S42</f>
        <v>0</v>
      </c>
      <c r="G42" s="139"/>
      <c r="H42" s="139"/>
      <c r="I42" s="139">
        <f>J42+K42+L42+M42+N42+O42+P42</f>
        <v>0</v>
      </c>
      <c r="J42" s="139"/>
      <c r="K42" s="139"/>
      <c r="L42" s="139"/>
      <c r="M42" s="139"/>
      <c r="N42" s="139"/>
      <c r="O42" s="139"/>
      <c r="P42" s="139"/>
      <c r="Q42" s="139"/>
      <c r="R42" s="139"/>
      <c r="S42" s="139">
        <f>T42+U42+V42</f>
        <v>0</v>
      </c>
      <c r="T42" s="193"/>
      <c r="U42" s="139"/>
      <c r="V42" s="139"/>
      <c r="W42" s="52"/>
      <c r="X42" s="62"/>
      <c r="Y42" s="46"/>
      <c r="Z42" s="63"/>
      <c r="AA42" s="62"/>
      <c r="AB42" s="64"/>
      <c r="AC42" s="64"/>
      <c r="AD42" s="63"/>
      <c r="AE42" s="46"/>
      <c r="AF42" s="64"/>
      <c r="AG42" s="63"/>
      <c r="AH42" s="39"/>
    </row>
    <row r="43" spans="1:34" ht="18.75">
      <c r="A43" s="136" t="s">
        <v>311</v>
      </c>
      <c r="B43" s="140">
        <v>230</v>
      </c>
      <c r="C43" s="189">
        <v>291</v>
      </c>
      <c r="D43" s="189"/>
      <c r="E43" s="141"/>
      <c r="F43" s="139">
        <f>G43+H43+I43+R43+S43</f>
        <v>41104</v>
      </c>
      <c r="G43" s="139">
        <f>G45+G46+G47</f>
        <v>17064</v>
      </c>
      <c r="H43" s="139">
        <f aca="true" t="shared" si="9" ref="H43:R43">H45+H49</f>
        <v>0</v>
      </c>
      <c r="I43" s="139">
        <f t="shared" si="9"/>
        <v>0</v>
      </c>
      <c r="J43" s="139">
        <f t="shared" si="9"/>
        <v>0</v>
      </c>
      <c r="K43" s="139">
        <f t="shared" si="9"/>
        <v>0</v>
      </c>
      <c r="L43" s="139">
        <f t="shared" si="9"/>
        <v>0</v>
      </c>
      <c r="M43" s="139">
        <f t="shared" si="9"/>
        <v>0</v>
      </c>
      <c r="N43" s="139">
        <f t="shared" si="9"/>
        <v>0</v>
      </c>
      <c r="O43" s="139">
        <f t="shared" si="9"/>
        <v>0</v>
      </c>
      <c r="P43" s="139">
        <f t="shared" si="9"/>
        <v>0</v>
      </c>
      <c r="Q43" s="139">
        <f t="shared" si="9"/>
        <v>0</v>
      </c>
      <c r="R43" s="139">
        <f t="shared" si="9"/>
        <v>0</v>
      </c>
      <c r="S43" s="139">
        <f>S45+S46+S47+S49+S48</f>
        <v>24040</v>
      </c>
      <c r="T43" s="193">
        <f>T45+T46+T47+T49</f>
        <v>4040</v>
      </c>
      <c r="U43" s="139">
        <f>U45+U46+U47+U48+U49</f>
        <v>20000</v>
      </c>
      <c r="V43" s="139">
        <f>V45+V49</f>
        <v>0</v>
      </c>
      <c r="W43" s="62"/>
      <c r="X43" s="62"/>
      <c r="Y43" s="46"/>
      <c r="Z43" s="63"/>
      <c r="AA43" s="62"/>
      <c r="AB43" s="64"/>
      <c r="AC43" s="64"/>
      <c r="AD43" s="63"/>
      <c r="AE43" s="46"/>
      <c r="AF43" s="64"/>
      <c r="AG43" s="63"/>
      <c r="AH43" s="39"/>
    </row>
    <row r="44" spans="1:34" ht="18.75">
      <c r="A44" s="136" t="s">
        <v>6</v>
      </c>
      <c r="B44" s="140"/>
      <c r="C44" s="189"/>
      <c r="D44" s="189"/>
      <c r="E44" s="138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82"/>
      <c r="X44" s="62"/>
      <c r="Y44" s="46"/>
      <c r="Z44" s="63"/>
      <c r="AA44" s="62"/>
      <c r="AB44" s="64"/>
      <c r="AC44" s="64"/>
      <c r="AD44" s="63"/>
      <c r="AE44" s="46"/>
      <c r="AF44" s="64"/>
      <c r="AG44" s="63"/>
      <c r="AH44" s="39"/>
    </row>
    <row r="45" spans="1:34" ht="18.75">
      <c r="A45" s="136" t="s">
        <v>69</v>
      </c>
      <c r="B45" s="140">
        <v>231</v>
      </c>
      <c r="C45" s="190" t="s">
        <v>274</v>
      </c>
      <c r="D45" s="189" t="s">
        <v>289</v>
      </c>
      <c r="E45" s="138"/>
      <c r="F45" s="139">
        <f>G45+H45+I45+R45+S45</f>
        <v>6592</v>
      </c>
      <c r="G45" s="139">
        <v>6592</v>
      </c>
      <c r="H45" s="139"/>
      <c r="I45" s="139">
        <f>J45+K45+L45+M45+N45+O45+P45</f>
        <v>0</v>
      </c>
      <c r="J45" s="139"/>
      <c r="K45" s="139"/>
      <c r="L45" s="139"/>
      <c r="M45" s="139"/>
      <c r="N45" s="139"/>
      <c r="O45" s="139"/>
      <c r="P45" s="139"/>
      <c r="Q45" s="139"/>
      <c r="R45" s="139"/>
      <c r="S45" s="139">
        <f aca="true" t="shared" si="10" ref="S45:S51">T45+U45+V45</f>
        <v>0</v>
      </c>
      <c r="T45" s="139"/>
      <c r="U45" s="139"/>
      <c r="V45" s="139"/>
      <c r="W45" s="82"/>
      <c r="X45" s="62"/>
      <c r="Y45" s="46"/>
      <c r="Z45" s="63"/>
      <c r="AA45" s="62"/>
      <c r="AB45" s="64"/>
      <c r="AC45" s="64"/>
      <c r="AD45" s="63"/>
      <c r="AE45" s="46"/>
      <c r="AF45" s="64"/>
      <c r="AG45" s="63"/>
      <c r="AH45" s="39"/>
    </row>
    <row r="46" spans="1:34" ht="18.75">
      <c r="A46" s="136" t="s">
        <v>69</v>
      </c>
      <c r="B46" s="140"/>
      <c r="C46" s="190" t="s">
        <v>275</v>
      </c>
      <c r="D46" s="189" t="s">
        <v>290</v>
      </c>
      <c r="E46" s="138"/>
      <c r="F46" s="139">
        <f>G46+H46+I46+R46+S46</f>
        <v>14512</v>
      </c>
      <c r="G46" s="139">
        <v>10472</v>
      </c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>
        <f t="shared" si="10"/>
        <v>4040</v>
      </c>
      <c r="T46" s="139">
        <v>4040</v>
      </c>
      <c r="U46" s="139"/>
      <c r="V46" s="139"/>
      <c r="W46" s="82"/>
      <c r="X46" s="62"/>
      <c r="Y46" s="46"/>
      <c r="Z46" s="63"/>
      <c r="AA46" s="62"/>
      <c r="AB46" s="64"/>
      <c r="AC46" s="64"/>
      <c r="AD46" s="63"/>
      <c r="AE46" s="46"/>
      <c r="AF46" s="64"/>
      <c r="AG46" s="63"/>
      <c r="AH46" s="39"/>
    </row>
    <row r="47" spans="1:34" ht="18.75">
      <c r="A47" s="136" t="s">
        <v>69</v>
      </c>
      <c r="B47" s="140"/>
      <c r="C47" s="190" t="s">
        <v>277</v>
      </c>
      <c r="D47" s="189" t="s">
        <v>299</v>
      </c>
      <c r="E47" s="138"/>
      <c r="F47" s="139">
        <f>G47+H47+I47+R47+S47</f>
        <v>0</v>
      </c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>
        <f t="shared" si="10"/>
        <v>0</v>
      </c>
      <c r="T47" s="139"/>
      <c r="U47" s="139"/>
      <c r="V47" s="139"/>
      <c r="W47" s="82"/>
      <c r="X47" s="62"/>
      <c r="Y47" s="46"/>
      <c r="Z47" s="63"/>
      <c r="AA47" s="62"/>
      <c r="AB47" s="64"/>
      <c r="AC47" s="64"/>
      <c r="AD47" s="63"/>
      <c r="AE47" s="46"/>
      <c r="AF47" s="64"/>
      <c r="AG47" s="63"/>
      <c r="AH47" s="39"/>
    </row>
    <row r="48" spans="1:34" ht="18.75">
      <c r="A48" s="136" t="s">
        <v>69</v>
      </c>
      <c r="B48" s="140"/>
      <c r="C48" s="190" t="s">
        <v>305</v>
      </c>
      <c r="D48" s="196"/>
      <c r="E48" s="138"/>
      <c r="F48" s="139">
        <f>G48+H48+I48+R48+S48</f>
        <v>20000</v>
      </c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>
        <f t="shared" si="10"/>
        <v>20000</v>
      </c>
      <c r="T48" s="139"/>
      <c r="U48" s="139">
        <v>20000</v>
      </c>
      <c r="V48" s="139"/>
      <c r="W48" s="82"/>
      <c r="X48" s="62"/>
      <c r="Y48" s="46"/>
      <c r="Z48" s="63"/>
      <c r="AA48" s="62"/>
      <c r="AB48" s="64"/>
      <c r="AC48" s="64"/>
      <c r="AD48" s="63"/>
      <c r="AE48" s="46"/>
      <c r="AF48" s="64"/>
      <c r="AG48" s="63"/>
      <c r="AH48" s="39"/>
    </row>
    <row r="49" spans="1:34" ht="18.75">
      <c r="A49" s="136"/>
      <c r="B49" s="140">
        <v>232</v>
      </c>
      <c r="C49" s="189"/>
      <c r="D49" s="189"/>
      <c r="E49" s="138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>
        <f t="shared" si="10"/>
        <v>0</v>
      </c>
      <c r="T49" s="139"/>
      <c r="U49" s="139"/>
      <c r="V49" s="139"/>
      <c r="W49" s="82"/>
      <c r="X49" s="62"/>
      <c r="Y49" s="46"/>
      <c r="Z49" s="63"/>
      <c r="AA49" s="62"/>
      <c r="AB49" s="64"/>
      <c r="AC49" s="64"/>
      <c r="AD49" s="63"/>
      <c r="AE49" s="46"/>
      <c r="AF49" s="64"/>
      <c r="AG49" s="63"/>
      <c r="AH49" s="39"/>
    </row>
    <row r="50" spans="1:34" ht="18.75">
      <c r="A50" s="136" t="s">
        <v>14</v>
      </c>
      <c r="B50" s="140">
        <v>240</v>
      </c>
      <c r="C50" s="189" t="s">
        <v>286</v>
      </c>
      <c r="D50" s="189"/>
      <c r="E50" s="138"/>
      <c r="F50" s="139">
        <f>G50+H50+I50+R50+S50</f>
        <v>0</v>
      </c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>
        <f t="shared" si="10"/>
        <v>0</v>
      </c>
      <c r="T50" s="139"/>
      <c r="U50" s="139"/>
      <c r="V50" s="139"/>
      <c r="W50" s="82"/>
      <c r="X50" s="62"/>
      <c r="Y50" s="46"/>
      <c r="Z50" s="63"/>
      <c r="AA50" s="62"/>
      <c r="AB50" s="64"/>
      <c r="AC50" s="64"/>
      <c r="AD50" s="63"/>
      <c r="AE50" s="46"/>
      <c r="AF50" s="64"/>
      <c r="AG50" s="63"/>
      <c r="AH50" s="39"/>
    </row>
    <row r="51" spans="1:34" ht="31.5">
      <c r="A51" s="136" t="s">
        <v>70</v>
      </c>
      <c r="B51" s="140">
        <v>250</v>
      </c>
      <c r="C51" s="189" t="s">
        <v>285</v>
      </c>
      <c r="D51" s="189"/>
      <c r="E51" s="138"/>
      <c r="F51" s="139">
        <f>G51+H51+I51+R51+S51</f>
        <v>0</v>
      </c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>
        <f t="shared" si="10"/>
        <v>0</v>
      </c>
      <c r="T51" s="139"/>
      <c r="U51" s="139"/>
      <c r="V51" s="139"/>
      <c r="W51" s="82"/>
      <c r="X51" s="62"/>
      <c r="Y51" s="46"/>
      <c r="Z51" s="63"/>
      <c r="AA51" s="62"/>
      <c r="AB51" s="64"/>
      <c r="AC51" s="64"/>
      <c r="AD51" s="63"/>
      <c r="AE51" s="46"/>
      <c r="AF51" s="64"/>
      <c r="AG51" s="63"/>
      <c r="AH51" s="39"/>
    </row>
    <row r="52" spans="1:34" ht="18.75">
      <c r="A52" s="136" t="s">
        <v>61</v>
      </c>
      <c r="B52" s="140"/>
      <c r="C52" s="189"/>
      <c r="D52" s="189"/>
      <c r="E52" s="138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82"/>
      <c r="X52" s="62"/>
      <c r="Y52" s="46"/>
      <c r="Z52" s="63"/>
      <c r="AA52" s="62"/>
      <c r="AB52" s="64"/>
      <c r="AC52" s="64"/>
      <c r="AD52" s="63"/>
      <c r="AE52" s="46"/>
      <c r="AF52" s="64"/>
      <c r="AG52" s="63"/>
      <c r="AH52" s="39"/>
    </row>
    <row r="53" spans="1:34" ht="18.75">
      <c r="A53" s="136" t="s">
        <v>267</v>
      </c>
      <c r="B53" s="140">
        <v>251</v>
      </c>
      <c r="C53" s="189"/>
      <c r="D53" s="189"/>
      <c r="E53" s="138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82"/>
      <c r="X53" s="62"/>
      <c r="Y53" s="46"/>
      <c r="Z53" s="63"/>
      <c r="AA53" s="62"/>
      <c r="AB53" s="64"/>
      <c r="AC53" s="64"/>
      <c r="AD53" s="63"/>
      <c r="AE53" s="46"/>
      <c r="AF53" s="64"/>
      <c r="AG53" s="63"/>
      <c r="AH53" s="39"/>
    </row>
    <row r="54" spans="1:34" ht="18.75">
      <c r="A54" s="136" t="s">
        <v>268</v>
      </c>
      <c r="B54" s="140">
        <v>252</v>
      </c>
      <c r="C54" s="189"/>
      <c r="D54" s="189"/>
      <c r="E54" s="138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82"/>
      <c r="X54" s="62"/>
      <c r="Y54" s="46"/>
      <c r="Z54" s="63"/>
      <c r="AA54" s="62"/>
      <c r="AB54" s="64"/>
      <c r="AC54" s="64"/>
      <c r="AD54" s="63"/>
      <c r="AE54" s="46"/>
      <c r="AF54" s="64"/>
      <c r="AG54" s="63"/>
      <c r="AH54" s="39"/>
    </row>
    <row r="55" spans="1:34" ht="18.75">
      <c r="A55" s="136"/>
      <c r="B55" s="140">
        <v>253</v>
      </c>
      <c r="C55" s="189"/>
      <c r="D55" s="189"/>
      <c r="E55" s="138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82"/>
      <c r="X55" s="62"/>
      <c r="Y55" s="46"/>
      <c r="Z55" s="63"/>
      <c r="AA55" s="62"/>
      <c r="AB55" s="64"/>
      <c r="AC55" s="64"/>
      <c r="AD55" s="63"/>
      <c r="AE55" s="46"/>
      <c r="AF55" s="64"/>
      <c r="AG55" s="63"/>
      <c r="AH55" s="39"/>
    </row>
    <row r="56" spans="1:34" ht="18.75">
      <c r="A56" s="136" t="s">
        <v>71</v>
      </c>
      <c r="B56" s="140">
        <v>260</v>
      </c>
      <c r="C56" s="189" t="s">
        <v>62</v>
      </c>
      <c r="D56" s="189"/>
      <c r="E56" s="138"/>
      <c r="F56" s="197">
        <f>G56+H56+I56+R56+S56</f>
        <v>3687425.45</v>
      </c>
      <c r="G56" s="139">
        <f>G58+G59+G60+G61+G62+G64+G66+G68</f>
        <v>929941</v>
      </c>
      <c r="H56" s="139"/>
      <c r="I56" s="139">
        <f>J56+K56+L56+M56+N56+O56+P56+Q56</f>
        <v>984995</v>
      </c>
      <c r="J56" s="139">
        <f>J58+J59+J60+J61+J62+J64+J66+J68</f>
        <v>13800</v>
      </c>
      <c r="K56" s="139">
        <f>K58+K59+K60+K61+K62+K64+K66+K68</f>
        <v>0</v>
      </c>
      <c r="L56" s="139">
        <f>L58+L59+L60+L61+L62+L64+L66+L68</f>
        <v>0</v>
      </c>
      <c r="M56" s="139">
        <f>M58+M59+M60+M61+M62+M64+M66+M68</f>
        <v>0</v>
      </c>
      <c r="N56" s="192">
        <v>64290</v>
      </c>
      <c r="O56" s="139">
        <f>O58+O59+O60+O61+O62+O63+O64+O65+O66+O67+O68+O69</f>
        <v>549293</v>
      </c>
      <c r="P56" s="139">
        <f>P58+P59+P60+P61+P62+P63+P64+P65+P66+P67+P68+P69</f>
        <v>99612</v>
      </c>
      <c r="Q56" s="139">
        <f>Q58+Q59+Q60+Q61+Q62+Q63+Q64+Q65+Q66+Q67+Q68+Q69</f>
        <v>258000</v>
      </c>
      <c r="R56" s="139"/>
      <c r="S56" s="139">
        <f>T56+U56+V56</f>
        <v>1772489.45</v>
      </c>
      <c r="T56" s="139">
        <f>T58+T59+T60+T61+T62+T64+T66+T68</f>
        <v>1065499.52</v>
      </c>
      <c r="U56" s="139">
        <f>U58+U59+U60+U61+U62+U64+U66+U68</f>
        <v>666989.9299999999</v>
      </c>
      <c r="V56" s="139">
        <f>V58+V59+V60+V61+V62+V64+V66+V68</f>
        <v>40000</v>
      </c>
      <c r="W56" s="82"/>
      <c r="X56" s="62"/>
      <c r="Y56" s="46"/>
      <c r="Z56" s="63"/>
      <c r="AA56" s="62"/>
      <c r="AB56" s="64"/>
      <c r="AC56" s="64"/>
      <c r="AD56" s="63"/>
      <c r="AE56" s="46"/>
      <c r="AF56" s="64"/>
      <c r="AG56" s="63"/>
      <c r="AH56" s="39"/>
    </row>
    <row r="57" spans="1:34" ht="18.75">
      <c r="A57" s="136" t="s">
        <v>61</v>
      </c>
      <c r="B57" s="140"/>
      <c r="C57" s="189"/>
      <c r="D57" s="189"/>
      <c r="E57" s="138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62"/>
      <c r="X57" s="62"/>
      <c r="Y57" s="46"/>
      <c r="Z57" s="63"/>
      <c r="AA57" s="62"/>
      <c r="AB57" s="64"/>
      <c r="AC57" s="64"/>
      <c r="AD57" s="63"/>
      <c r="AE57" s="46"/>
      <c r="AF57" s="64"/>
      <c r="AG57" s="63"/>
      <c r="AH57" s="39"/>
    </row>
    <row r="58" spans="1:34" ht="18.75">
      <c r="A58" s="136" t="s">
        <v>72</v>
      </c>
      <c r="B58" s="140">
        <v>261</v>
      </c>
      <c r="C58" s="190" t="s">
        <v>276</v>
      </c>
      <c r="D58" s="189" t="s">
        <v>291</v>
      </c>
      <c r="E58" s="141">
        <v>120</v>
      </c>
      <c r="F58" s="139">
        <f>G58+H58+I58+R58+S58</f>
        <v>179622.16</v>
      </c>
      <c r="G58" s="139">
        <v>120834</v>
      </c>
      <c r="H58" s="139"/>
      <c r="I58" s="139">
        <f>J58+K58+L58+M58+N58+O58+P58</f>
        <v>0</v>
      </c>
      <c r="J58" s="139"/>
      <c r="K58" s="139"/>
      <c r="L58" s="139"/>
      <c r="M58" s="139"/>
      <c r="N58" s="139"/>
      <c r="O58" s="139"/>
      <c r="P58" s="139"/>
      <c r="Q58" s="139"/>
      <c r="R58" s="139"/>
      <c r="S58" s="139">
        <f aca="true" t="shared" si="11" ref="S58:S68">T58+U58+V58</f>
        <v>58788.16</v>
      </c>
      <c r="T58" s="193">
        <v>58788.16</v>
      </c>
      <c r="U58" s="139"/>
      <c r="V58" s="139"/>
      <c r="W58" s="62"/>
      <c r="X58" s="62"/>
      <c r="Y58" s="46"/>
      <c r="Z58" s="63"/>
      <c r="AA58" s="62"/>
      <c r="AB58" s="64"/>
      <c r="AC58" s="64"/>
      <c r="AD58" s="63"/>
      <c r="AE58" s="46"/>
      <c r="AF58" s="64"/>
      <c r="AG58" s="63"/>
      <c r="AH58" s="39"/>
    </row>
    <row r="59" spans="1:34" ht="18.75">
      <c r="A59" s="136" t="s">
        <v>73</v>
      </c>
      <c r="B59" s="140">
        <v>262</v>
      </c>
      <c r="C59" s="190" t="s">
        <v>278</v>
      </c>
      <c r="D59" s="189" t="s">
        <v>296</v>
      </c>
      <c r="E59" s="138">
        <v>120</v>
      </c>
      <c r="F59" s="139">
        <f>G59+H59+I59+R59+S59</f>
        <v>0</v>
      </c>
      <c r="G59" s="139"/>
      <c r="H59" s="139"/>
      <c r="I59" s="139">
        <f>J59+K59+L59+M59+N59+O59+P59</f>
        <v>0</v>
      </c>
      <c r="J59" s="139"/>
      <c r="K59" s="139"/>
      <c r="L59" s="139"/>
      <c r="M59" s="139"/>
      <c r="N59" s="139"/>
      <c r="O59" s="139"/>
      <c r="P59" s="139"/>
      <c r="Q59" s="139"/>
      <c r="R59" s="139"/>
      <c r="S59" s="139">
        <f t="shared" si="11"/>
        <v>0</v>
      </c>
      <c r="T59" s="193"/>
      <c r="U59" s="139"/>
      <c r="V59" s="139"/>
      <c r="W59" s="82"/>
      <c r="X59" s="62"/>
      <c r="Y59" s="46"/>
      <c r="Z59" s="63"/>
      <c r="AA59" s="62"/>
      <c r="AB59" s="64"/>
      <c r="AC59" s="64"/>
      <c r="AD59" s="63"/>
      <c r="AE59" s="46"/>
      <c r="AF59" s="64"/>
      <c r="AG59" s="63"/>
      <c r="AH59" s="39"/>
    </row>
    <row r="60" spans="1:34" ht="18.75">
      <c r="A60" s="136" t="s">
        <v>74</v>
      </c>
      <c r="B60" s="140">
        <v>263</v>
      </c>
      <c r="C60" s="190" t="s">
        <v>279</v>
      </c>
      <c r="D60" s="189" t="s">
        <v>288</v>
      </c>
      <c r="E60" s="138">
        <v>120</v>
      </c>
      <c r="F60" s="139">
        <f>G60+H60+I60+R60+S60</f>
        <v>415759</v>
      </c>
      <c r="G60" s="139">
        <v>415759</v>
      </c>
      <c r="H60" s="139"/>
      <c r="I60" s="139">
        <f>J60+K60+L60+M60+N60+O60+P60</f>
        <v>0</v>
      </c>
      <c r="J60" s="139"/>
      <c r="K60" s="139"/>
      <c r="L60" s="139"/>
      <c r="M60" s="139"/>
      <c r="N60" s="139"/>
      <c r="O60" s="139"/>
      <c r="P60" s="139"/>
      <c r="Q60" s="139"/>
      <c r="R60" s="139"/>
      <c r="S60" s="139">
        <f t="shared" si="11"/>
        <v>0</v>
      </c>
      <c r="T60" s="193"/>
      <c r="U60" s="139"/>
      <c r="V60" s="139"/>
      <c r="W60" s="62"/>
      <c r="X60" s="62"/>
      <c r="Y60" s="46"/>
      <c r="Z60" s="63"/>
      <c r="AA60" s="62"/>
      <c r="AB60" s="64"/>
      <c r="AC60" s="64"/>
      <c r="AD60" s="63"/>
      <c r="AE60" s="46"/>
      <c r="AF60" s="64"/>
      <c r="AG60" s="63"/>
      <c r="AH60" s="39"/>
    </row>
    <row r="61" spans="1:34" ht="18.75">
      <c r="A61" s="136" t="s">
        <v>75</v>
      </c>
      <c r="B61" s="140">
        <v>264</v>
      </c>
      <c r="C61" s="190" t="s">
        <v>280</v>
      </c>
      <c r="D61" s="189" t="s">
        <v>293</v>
      </c>
      <c r="E61" s="141">
        <v>120</v>
      </c>
      <c r="F61" s="139">
        <f>G61+H61+I61+R61+S61</f>
        <v>0</v>
      </c>
      <c r="G61" s="139"/>
      <c r="H61" s="139"/>
      <c r="I61" s="139">
        <f>J61+K61+L61+M61+N61+O61+P61</f>
        <v>0</v>
      </c>
      <c r="J61" s="139"/>
      <c r="K61" s="139"/>
      <c r="L61" s="139"/>
      <c r="M61" s="139"/>
      <c r="N61" s="139"/>
      <c r="O61" s="139"/>
      <c r="P61" s="139"/>
      <c r="Q61" s="139"/>
      <c r="R61" s="139"/>
      <c r="S61" s="139">
        <f t="shared" si="11"/>
        <v>0</v>
      </c>
      <c r="T61" s="193"/>
      <c r="U61" s="139"/>
      <c r="V61" s="139"/>
      <c r="W61" s="62"/>
      <c r="X61" s="62"/>
      <c r="Y61" s="46"/>
      <c r="Z61" s="63"/>
      <c r="AA61" s="62"/>
      <c r="AB61" s="64"/>
      <c r="AC61" s="64"/>
      <c r="AD61" s="63"/>
      <c r="AE61" s="46"/>
      <c r="AF61" s="64"/>
      <c r="AG61" s="63"/>
      <c r="AH61" s="39"/>
    </row>
    <row r="62" spans="1:34" ht="18.75">
      <c r="A62" s="136" t="s">
        <v>76</v>
      </c>
      <c r="B62" s="140">
        <v>265</v>
      </c>
      <c r="C62" s="190" t="s">
        <v>281</v>
      </c>
      <c r="D62" s="189" t="s">
        <v>294</v>
      </c>
      <c r="E62" s="138">
        <v>120</v>
      </c>
      <c r="F62" s="139">
        <f>G62+H62+I62+R62+S62</f>
        <v>300775.8</v>
      </c>
      <c r="G62" s="139"/>
      <c r="H62" s="139"/>
      <c r="I62" s="139">
        <f>J62+K62+L62+M62+N62+O62+P62</f>
        <v>52290</v>
      </c>
      <c r="J62" s="139"/>
      <c r="K62" s="139"/>
      <c r="L62" s="139"/>
      <c r="M62" s="139"/>
      <c r="N62" s="139">
        <v>52290</v>
      </c>
      <c r="O62" s="139"/>
      <c r="P62" s="139"/>
      <c r="Q62" s="139"/>
      <c r="R62" s="139"/>
      <c r="S62" s="139">
        <f t="shared" si="11"/>
        <v>248485.8</v>
      </c>
      <c r="T62" s="193">
        <v>149229.68</v>
      </c>
      <c r="U62" s="139">
        <v>99256.12</v>
      </c>
      <c r="V62" s="139"/>
      <c r="W62" s="62"/>
      <c r="X62" s="62"/>
      <c r="Y62" s="46"/>
      <c r="Z62" s="63"/>
      <c r="AA62" s="62"/>
      <c r="AB62" s="64"/>
      <c r="AC62" s="64"/>
      <c r="AD62" s="63"/>
      <c r="AE62" s="46"/>
      <c r="AF62" s="64"/>
      <c r="AG62" s="63"/>
      <c r="AH62" s="39"/>
    </row>
    <row r="63" spans="1:34" ht="18.75">
      <c r="A63" s="136" t="s">
        <v>76</v>
      </c>
      <c r="B63" s="140"/>
      <c r="C63" s="195" t="s">
        <v>307</v>
      </c>
      <c r="D63" s="196"/>
      <c r="E63" s="138">
        <v>120</v>
      </c>
      <c r="F63" s="139">
        <f>G63+H63+I63+R63+S63</f>
        <v>7872</v>
      </c>
      <c r="G63" s="139"/>
      <c r="H63" s="139"/>
      <c r="I63" s="139">
        <f>J63+K63+L63+M63+N63+O63+P63</f>
        <v>7872</v>
      </c>
      <c r="J63" s="139"/>
      <c r="K63" s="139"/>
      <c r="L63" s="139"/>
      <c r="M63" s="139"/>
      <c r="N63" s="139"/>
      <c r="O63" s="139">
        <v>7872</v>
      </c>
      <c r="P63" s="139"/>
      <c r="Q63" s="139"/>
      <c r="R63" s="139"/>
      <c r="S63" s="139"/>
      <c r="T63" s="193"/>
      <c r="U63" s="139"/>
      <c r="V63" s="139"/>
      <c r="W63" s="62"/>
      <c r="X63" s="62"/>
      <c r="Y63" s="46"/>
      <c r="Z63" s="63"/>
      <c r="AA63" s="62"/>
      <c r="AB63" s="64"/>
      <c r="AC63" s="64"/>
      <c r="AD63" s="63"/>
      <c r="AE63" s="46"/>
      <c r="AF63" s="64"/>
      <c r="AG63" s="63"/>
      <c r="AH63" s="39"/>
    </row>
    <row r="64" spans="1:34" ht="18.75">
      <c r="A64" s="136" t="s">
        <v>165</v>
      </c>
      <c r="B64" s="140">
        <v>266</v>
      </c>
      <c r="C64" s="190" t="s">
        <v>282</v>
      </c>
      <c r="D64" s="189" t="s">
        <v>295</v>
      </c>
      <c r="E64" s="138">
        <v>120</v>
      </c>
      <c r="F64" s="139">
        <f>G64+H64+I64+R64+S64</f>
        <v>423779.21</v>
      </c>
      <c r="G64" s="139">
        <v>30400</v>
      </c>
      <c r="H64" s="139"/>
      <c r="I64" s="139">
        <f>J64+K64+L64+M64+N64+O64+P64</f>
        <v>13800</v>
      </c>
      <c r="J64" s="139">
        <v>13800</v>
      </c>
      <c r="K64" s="139"/>
      <c r="L64" s="139"/>
      <c r="M64" s="139"/>
      <c r="N64" s="139"/>
      <c r="O64" s="139"/>
      <c r="P64" s="139"/>
      <c r="Q64" s="139"/>
      <c r="R64" s="139"/>
      <c r="S64" s="139">
        <f t="shared" si="11"/>
        <v>379579.21</v>
      </c>
      <c r="T64" s="193">
        <v>214739.32</v>
      </c>
      <c r="U64" s="139">
        <v>164839.89</v>
      </c>
      <c r="V64" s="139"/>
      <c r="W64" s="62"/>
      <c r="X64" s="62"/>
      <c r="Y64" s="46"/>
      <c r="Z64" s="63"/>
      <c r="AA64" s="62"/>
      <c r="AB64" s="64"/>
      <c r="AC64" s="64"/>
      <c r="AD64" s="63"/>
      <c r="AE64" s="46"/>
      <c r="AF64" s="64"/>
      <c r="AG64" s="63"/>
      <c r="AH64" s="39"/>
    </row>
    <row r="65" spans="1:34" ht="18.75">
      <c r="A65" s="136" t="s">
        <v>165</v>
      </c>
      <c r="B65" s="140"/>
      <c r="C65" s="195" t="s">
        <v>308</v>
      </c>
      <c r="D65" s="196"/>
      <c r="E65" s="138">
        <v>120</v>
      </c>
      <c r="F65" s="139">
        <f>G65+H65+I65+R65+S65</f>
        <v>487030.15</v>
      </c>
      <c r="G65" s="139"/>
      <c r="H65" s="139"/>
      <c r="I65" s="139">
        <f>J65+K65+L65+M65+N65+O65+P65</f>
        <v>487030.15</v>
      </c>
      <c r="J65" s="139"/>
      <c r="K65" s="139"/>
      <c r="L65" s="139"/>
      <c r="M65" s="139"/>
      <c r="N65" s="139">
        <v>12000</v>
      </c>
      <c r="O65" s="139">
        <v>475030.15</v>
      </c>
      <c r="P65" s="139"/>
      <c r="Q65" s="139"/>
      <c r="R65" s="139"/>
      <c r="S65" s="139"/>
      <c r="T65" s="139"/>
      <c r="U65" s="139"/>
      <c r="V65" s="139"/>
      <c r="W65" s="62"/>
      <c r="X65" s="62"/>
      <c r="Y65" s="46"/>
      <c r="Z65" s="63"/>
      <c r="AA65" s="62"/>
      <c r="AB65" s="64"/>
      <c r="AC65" s="64"/>
      <c r="AD65" s="63"/>
      <c r="AE65" s="46"/>
      <c r="AF65" s="64"/>
      <c r="AG65" s="63"/>
      <c r="AH65" s="39"/>
    </row>
    <row r="66" spans="1:34" ht="18.75">
      <c r="A66" s="136" t="s">
        <v>166</v>
      </c>
      <c r="B66" s="140">
        <v>267</v>
      </c>
      <c r="C66" s="190" t="s">
        <v>283</v>
      </c>
      <c r="D66" s="189" t="s">
        <v>297</v>
      </c>
      <c r="E66" s="138">
        <v>120</v>
      </c>
      <c r="F66" s="139">
        <f>G66+H66+I66+R66+S66</f>
        <v>767274.13</v>
      </c>
      <c r="G66" s="139"/>
      <c r="H66" s="139"/>
      <c r="I66" s="139">
        <f>J66+K66+L66+M66+N66+O66+P66+Q66</f>
        <v>357612</v>
      </c>
      <c r="J66" s="139"/>
      <c r="K66" s="139"/>
      <c r="L66" s="139"/>
      <c r="M66" s="139"/>
      <c r="N66" s="139"/>
      <c r="O66" s="139"/>
      <c r="P66" s="139">
        <v>99612</v>
      </c>
      <c r="Q66" s="139">
        <v>258000</v>
      </c>
      <c r="R66" s="139"/>
      <c r="S66" s="139">
        <f t="shared" si="11"/>
        <v>409662.13</v>
      </c>
      <c r="T66" s="139">
        <v>295903.13</v>
      </c>
      <c r="U66" s="139">
        <v>113759</v>
      </c>
      <c r="V66" s="139"/>
      <c r="W66" s="62"/>
      <c r="X66" s="62"/>
      <c r="Y66" s="46"/>
      <c r="Z66" s="63"/>
      <c r="AA66" s="62"/>
      <c r="AB66" s="64"/>
      <c r="AC66" s="64"/>
      <c r="AD66" s="63"/>
      <c r="AE66" s="46"/>
      <c r="AF66" s="64"/>
      <c r="AG66" s="63"/>
      <c r="AH66" s="39"/>
    </row>
    <row r="67" spans="1:34" ht="18.75">
      <c r="A67" s="136" t="s">
        <v>166</v>
      </c>
      <c r="B67" s="140"/>
      <c r="C67" s="195" t="s">
        <v>309</v>
      </c>
      <c r="D67" s="196"/>
      <c r="E67" s="138">
        <v>120</v>
      </c>
      <c r="F67" s="139">
        <f>G67+H67+I67+R67+S67</f>
        <v>15000</v>
      </c>
      <c r="G67" s="139"/>
      <c r="H67" s="139"/>
      <c r="I67" s="139">
        <f>J67+K67+L67+M67+N67+O67+P67+Q67</f>
        <v>15000</v>
      </c>
      <c r="J67" s="139"/>
      <c r="K67" s="139"/>
      <c r="L67" s="139"/>
      <c r="M67" s="139"/>
      <c r="N67" s="139"/>
      <c r="O67" s="139">
        <v>15000</v>
      </c>
      <c r="P67" s="139"/>
      <c r="Q67" s="139"/>
      <c r="R67" s="139"/>
      <c r="S67" s="139"/>
      <c r="T67" s="139"/>
      <c r="U67" s="139"/>
      <c r="V67" s="139"/>
      <c r="W67" s="62"/>
      <c r="X67" s="62"/>
      <c r="Y67" s="46"/>
      <c r="Z67" s="63"/>
      <c r="AA67" s="62"/>
      <c r="AB67" s="64"/>
      <c r="AC67" s="64"/>
      <c r="AD67" s="63"/>
      <c r="AE67" s="46"/>
      <c r="AF67" s="64"/>
      <c r="AG67" s="63"/>
      <c r="AH67" s="39"/>
    </row>
    <row r="68" spans="1:34" ht="18.75">
      <c r="A68" s="136" t="s">
        <v>167</v>
      </c>
      <c r="B68" s="140">
        <v>268</v>
      </c>
      <c r="C68" s="190" t="s">
        <v>284</v>
      </c>
      <c r="D68" s="189" t="s">
        <v>298</v>
      </c>
      <c r="E68" s="138">
        <v>120</v>
      </c>
      <c r="F68" s="139">
        <f>G68+H68+I68+R68+S68</f>
        <v>1038922.1499999999</v>
      </c>
      <c r="G68" s="139">
        <v>362948</v>
      </c>
      <c r="H68" s="139"/>
      <c r="I68" s="139">
        <f>J68+K68+L68+M68+N68+O68+P68</f>
        <v>0</v>
      </c>
      <c r="J68" s="139"/>
      <c r="K68" s="139"/>
      <c r="L68" s="139"/>
      <c r="M68" s="139"/>
      <c r="N68" s="139"/>
      <c r="O68" s="139"/>
      <c r="P68" s="139"/>
      <c r="Q68" s="139"/>
      <c r="R68" s="139"/>
      <c r="S68" s="139">
        <f t="shared" si="11"/>
        <v>675974.1499999999</v>
      </c>
      <c r="T68" s="139">
        <v>346839.23</v>
      </c>
      <c r="U68" s="139">
        <v>289134.92</v>
      </c>
      <c r="V68" s="139">
        <v>40000</v>
      </c>
      <c r="W68" s="62"/>
      <c r="X68" s="62"/>
      <c r="Y68" s="46"/>
      <c r="Z68" s="63"/>
      <c r="AA68" s="62"/>
      <c r="AB68" s="64"/>
      <c r="AC68" s="64"/>
      <c r="AD68" s="63"/>
      <c r="AE68" s="46"/>
      <c r="AF68" s="64"/>
      <c r="AG68" s="63"/>
      <c r="AH68" s="39"/>
    </row>
    <row r="69" spans="1:34" ht="18.75">
      <c r="A69" s="136" t="s">
        <v>167</v>
      </c>
      <c r="B69" s="140"/>
      <c r="C69" s="195" t="s">
        <v>310</v>
      </c>
      <c r="D69" s="196"/>
      <c r="E69" s="138">
        <v>120</v>
      </c>
      <c r="F69" s="139">
        <f>G69+H69+I69+R69+S69</f>
        <v>51390.85</v>
      </c>
      <c r="G69" s="139"/>
      <c r="H69" s="139"/>
      <c r="I69" s="139">
        <f>J69+K69+L69+M69+N69+O69+P69</f>
        <v>51390.85</v>
      </c>
      <c r="J69" s="139"/>
      <c r="K69" s="139"/>
      <c r="L69" s="139"/>
      <c r="M69" s="139"/>
      <c r="N69" s="139"/>
      <c r="O69" s="139">
        <v>51390.85</v>
      </c>
      <c r="P69" s="139"/>
      <c r="Q69" s="139"/>
      <c r="R69" s="139"/>
      <c r="S69" s="139"/>
      <c r="T69" s="139"/>
      <c r="U69" s="139"/>
      <c r="V69" s="139"/>
      <c r="W69" s="62"/>
      <c r="X69" s="62"/>
      <c r="Y69" s="46"/>
      <c r="Z69" s="63"/>
      <c r="AA69" s="62"/>
      <c r="AB69" s="64"/>
      <c r="AC69" s="64"/>
      <c r="AD69" s="63"/>
      <c r="AE69" s="46"/>
      <c r="AF69" s="64"/>
      <c r="AG69" s="63"/>
      <c r="AH69" s="39"/>
    </row>
    <row r="70" spans="1:34" ht="18.75">
      <c r="A70" s="136" t="s">
        <v>77</v>
      </c>
      <c r="B70" s="140">
        <v>300</v>
      </c>
      <c r="C70" s="189" t="s">
        <v>62</v>
      </c>
      <c r="D70" s="189"/>
      <c r="E70" s="138"/>
      <c r="F70" s="139">
        <f>G70+H70+I70+R70+S70</f>
        <v>54886374.09</v>
      </c>
      <c r="G70" s="139">
        <f aca="true" t="shared" si="12" ref="G70:V70">G72+G73</f>
        <v>34592914</v>
      </c>
      <c r="H70" s="139">
        <f t="shared" si="12"/>
        <v>0</v>
      </c>
      <c r="I70" s="139">
        <f t="shared" si="12"/>
        <v>16275543.39</v>
      </c>
      <c r="J70" s="139">
        <f t="shared" si="12"/>
        <v>2607401.84</v>
      </c>
      <c r="K70" s="139">
        <f t="shared" si="12"/>
        <v>11124691.97</v>
      </c>
      <c r="L70" s="139">
        <f t="shared" si="12"/>
        <v>398920.34</v>
      </c>
      <c r="M70" s="139">
        <f t="shared" si="12"/>
        <v>1173334.24</v>
      </c>
      <c r="N70" s="139">
        <f t="shared" si="12"/>
        <v>64290</v>
      </c>
      <c r="O70" s="139">
        <f t="shared" si="12"/>
        <v>549293</v>
      </c>
      <c r="P70" s="139">
        <f t="shared" si="12"/>
        <v>99612</v>
      </c>
      <c r="Q70" s="139">
        <f t="shared" si="12"/>
        <v>258000</v>
      </c>
      <c r="R70" s="139">
        <f t="shared" si="12"/>
        <v>0</v>
      </c>
      <c r="S70" s="139">
        <f t="shared" si="12"/>
        <v>4017916.6999999997</v>
      </c>
      <c r="T70" s="139">
        <f t="shared" si="12"/>
        <v>2108078.28</v>
      </c>
      <c r="U70" s="139">
        <f t="shared" si="12"/>
        <v>1859838.42</v>
      </c>
      <c r="V70" s="139">
        <f t="shared" si="12"/>
        <v>50000</v>
      </c>
      <c r="W70" s="82"/>
      <c r="X70" s="62"/>
      <c r="Y70" s="46"/>
      <c r="Z70" s="63"/>
      <c r="AA70" s="62"/>
      <c r="AB70" s="64"/>
      <c r="AC70" s="64"/>
      <c r="AD70" s="63"/>
      <c r="AE70" s="46"/>
      <c r="AF70" s="64"/>
      <c r="AG70" s="63"/>
      <c r="AH70" s="39"/>
    </row>
    <row r="71" spans="1:34" ht="18.75">
      <c r="A71" s="136" t="s">
        <v>6</v>
      </c>
      <c r="B71" s="140"/>
      <c r="C71" s="189"/>
      <c r="D71" s="189"/>
      <c r="E71" s="138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82"/>
      <c r="X71" s="62"/>
      <c r="Y71" s="46"/>
      <c r="Z71" s="63"/>
      <c r="AA71" s="62"/>
      <c r="AB71" s="64"/>
      <c r="AC71" s="64"/>
      <c r="AD71" s="63"/>
      <c r="AE71" s="46"/>
      <c r="AF71" s="64"/>
      <c r="AG71" s="63"/>
      <c r="AH71" s="39"/>
    </row>
    <row r="72" spans="1:34" ht="18.75">
      <c r="A72" s="136" t="s">
        <v>78</v>
      </c>
      <c r="B72" s="140">
        <v>310</v>
      </c>
      <c r="C72" s="189">
        <v>510</v>
      </c>
      <c r="D72" s="189"/>
      <c r="E72" s="141"/>
      <c r="F72" s="139">
        <f>G72+H72+I72+R72+S72</f>
        <v>54886374.09</v>
      </c>
      <c r="G72" s="139">
        <f aca="true" t="shared" si="13" ref="G72:R72">G9</f>
        <v>34592914</v>
      </c>
      <c r="H72" s="139">
        <f t="shared" si="13"/>
        <v>0</v>
      </c>
      <c r="I72" s="139">
        <f>I9</f>
        <v>16275543.39</v>
      </c>
      <c r="J72" s="139">
        <f t="shared" si="13"/>
        <v>2607401.84</v>
      </c>
      <c r="K72" s="139">
        <f t="shared" si="13"/>
        <v>11124691.97</v>
      </c>
      <c r="L72" s="139">
        <f t="shared" si="13"/>
        <v>398920.34</v>
      </c>
      <c r="M72" s="139">
        <f t="shared" si="13"/>
        <v>1173334.24</v>
      </c>
      <c r="N72" s="139">
        <f t="shared" si="13"/>
        <v>64290</v>
      </c>
      <c r="O72" s="139">
        <f t="shared" si="13"/>
        <v>549293</v>
      </c>
      <c r="P72" s="139">
        <f t="shared" si="13"/>
        <v>99612</v>
      </c>
      <c r="Q72" s="139">
        <f t="shared" si="13"/>
        <v>258000</v>
      </c>
      <c r="R72" s="139">
        <f t="shared" si="13"/>
        <v>0</v>
      </c>
      <c r="S72" s="139">
        <f>T72+U72+V72</f>
        <v>4017916.6999999997</v>
      </c>
      <c r="T72" s="139">
        <f>T9</f>
        <v>2108078.28</v>
      </c>
      <c r="U72" s="139">
        <f>U9</f>
        <v>1859838.42</v>
      </c>
      <c r="V72" s="139">
        <v>50000</v>
      </c>
      <c r="W72" s="62"/>
      <c r="X72" s="62"/>
      <c r="Y72" s="46"/>
      <c r="Z72" s="63"/>
      <c r="AA72" s="62"/>
      <c r="AB72" s="64"/>
      <c r="AC72" s="64"/>
      <c r="AD72" s="63"/>
      <c r="AE72" s="46"/>
      <c r="AF72" s="64"/>
      <c r="AG72" s="63"/>
      <c r="AH72" s="39"/>
    </row>
    <row r="73" spans="1:34" ht="18.75">
      <c r="A73" s="136" t="s">
        <v>100</v>
      </c>
      <c r="B73" s="140">
        <v>320</v>
      </c>
      <c r="C73" s="189"/>
      <c r="D73" s="189"/>
      <c r="E73" s="138"/>
      <c r="F73" s="139">
        <f>G73+H73+I73+R73+S73</f>
        <v>0</v>
      </c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>
        <f>T73+U73+V73</f>
        <v>0</v>
      </c>
      <c r="T73" s="139"/>
      <c r="U73" s="139"/>
      <c r="V73" s="139"/>
      <c r="W73" s="82"/>
      <c r="X73" s="62"/>
      <c r="Y73" s="46"/>
      <c r="Z73" s="63"/>
      <c r="AA73" s="62"/>
      <c r="AB73" s="64"/>
      <c r="AC73" s="64"/>
      <c r="AD73" s="63"/>
      <c r="AE73" s="46"/>
      <c r="AF73" s="64"/>
      <c r="AG73" s="63"/>
      <c r="AH73" s="39"/>
    </row>
    <row r="74" spans="1:34" ht="18.75">
      <c r="A74" s="136" t="s">
        <v>79</v>
      </c>
      <c r="B74" s="140">
        <v>400</v>
      </c>
      <c r="C74" s="189"/>
      <c r="D74" s="189"/>
      <c r="E74" s="138"/>
      <c r="F74" s="139">
        <f>G74+H74+I74+R74+S74</f>
        <v>54629864.2</v>
      </c>
      <c r="G74" s="139">
        <f aca="true" t="shared" si="14" ref="G74:V74">G76+G77</f>
        <v>34592914</v>
      </c>
      <c r="H74" s="139">
        <f t="shared" si="14"/>
        <v>0</v>
      </c>
      <c r="I74" s="139">
        <f t="shared" si="14"/>
        <v>16275543.39</v>
      </c>
      <c r="J74" s="139">
        <f t="shared" si="14"/>
        <v>2607401.84</v>
      </c>
      <c r="K74" s="139">
        <f t="shared" si="14"/>
        <v>11124691.969999999</v>
      </c>
      <c r="L74" s="139">
        <f t="shared" si="14"/>
        <v>398920.34</v>
      </c>
      <c r="M74" s="139">
        <f t="shared" si="14"/>
        <v>1173334.24</v>
      </c>
      <c r="N74" s="139">
        <f t="shared" si="14"/>
        <v>64290</v>
      </c>
      <c r="O74" s="139">
        <f t="shared" si="14"/>
        <v>549293</v>
      </c>
      <c r="P74" s="139">
        <f t="shared" si="14"/>
        <v>99612</v>
      </c>
      <c r="Q74" s="139">
        <f t="shared" si="14"/>
        <v>258000</v>
      </c>
      <c r="R74" s="139">
        <f t="shared" si="14"/>
        <v>0</v>
      </c>
      <c r="S74" s="139">
        <f t="shared" si="14"/>
        <v>3761406.81</v>
      </c>
      <c r="T74" s="139">
        <f t="shared" si="14"/>
        <v>2108078.2800000003</v>
      </c>
      <c r="U74" s="139">
        <f t="shared" si="14"/>
        <v>1653328.5299999998</v>
      </c>
      <c r="V74" s="139">
        <f t="shared" si="14"/>
        <v>0</v>
      </c>
      <c r="W74" s="82"/>
      <c r="X74" s="62"/>
      <c r="Y74" s="46"/>
      <c r="Z74" s="63"/>
      <c r="AA74" s="62"/>
      <c r="AB74" s="64"/>
      <c r="AC74" s="64"/>
      <c r="AD74" s="63"/>
      <c r="AE74" s="46"/>
      <c r="AF74" s="64"/>
      <c r="AG74" s="63"/>
      <c r="AH74" s="39"/>
    </row>
    <row r="75" spans="1:34" ht="18.75">
      <c r="A75" s="136" t="s">
        <v>6</v>
      </c>
      <c r="B75" s="140"/>
      <c r="C75" s="189"/>
      <c r="D75" s="189"/>
      <c r="E75" s="138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82"/>
      <c r="X75" s="62"/>
      <c r="Y75" s="46"/>
      <c r="Z75" s="63"/>
      <c r="AA75" s="62"/>
      <c r="AB75" s="64"/>
      <c r="AC75" s="64"/>
      <c r="AD75" s="63"/>
      <c r="AE75" s="46"/>
      <c r="AF75" s="64"/>
      <c r="AG75" s="63"/>
      <c r="AH75" s="39"/>
    </row>
    <row r="76" spans="1:34" ht="18.75">
      <c r="A76" s="136" t="s">
        <v>80</v>
      </c>
      <c r="B76" s="140">
        <v>410</v>
      </c>
      <c r="C76" s="189"/>
      <c r="D76" s="189"/>
      <c r="E76" s="138"/>
      <c r="F76" s="139">
        <f>G76+H76+I76+R76+S76</f>
        <v>54629864.2</v>
      </c>
      <c r="G76" s="139">
        <f aca="true" t="shared" si="15" ref="G76:R76">G27</f>
        <v>34592914</v>
      </c>
      <c r="H76" s="139">
        <f t="shared" si="15"/>
        <v>0</v>
      </c>
      <c r="I76" s="139">
        <f t="shared" si="15"/>
        <v>16275543.39</v>
      </c>
      <c r="J76" s="139">
        <f t="shared" si="15"/>
        <v>2607401.84</v>
      </c>
      <c r="K76" s="139">
        <f t="shared" si="15"/>
        <v>11124691.969999999</v>
      </c>
      <c r="L76" s="139">
        <f t="shared" si="15"/>
        <v>398920.34</v>
      </c>
      <c r="M76" s="139">
        <f t="shared" si="15"/>
        <v>1173334.24</v>
      </c>
      <c r="N76" s="139">
        <f t="shared" si="15"/>
        <v>64290</v>
      </c>
      <c r="O76" s="139">
        <f t="shared" si="15"/>
        <v>549293</v>
      </c>
      <c r="P76" s="139">
        <f t="shared" si="15"/>
        <v>99612</v>
      </c>
      <c r="Q76" s="139">
        <f t="shared" si="15"/>
        <v>258000</v>
      </c>
      <c r="R76" s="139">
        <f t="shared" si="15"/>
        <v>0</v>
      </c>
      <c r="S76" s="139">
        <f>T76+U76+V76</f>
        <v>3761406.81</v>
      </c>
      <c r="T76" s="139">
        <f>T27</f>
        <v>2108078.2800000003</v>
      </c>
      <c r="U76" s="139">
        <f>U27</f>
        <v>1653328.5299999998</v>
      </c>
      <c r="V76" s="139"/>
      <c r="W76" s="82"/>
      <c r="X76" s="62"/>
      <c r="Y76" s="46"/>
      <c r="Z76" s="63"/>
      <c r="AA76" s="62"/>
      <c r="AB76" s="64"/>
      <c r="AC76" s="64"/>
      <c r="AD76" s="63"/>
      <c r="AE76" s="46"/>
      <c r="AF76" s="64"/>
      <c r="AG76" s="63"/>
      <c r="AH76" s="39"/>
    </row>
    <row r="77" spans="1:34" ht="18.75">
      <c r="A77" s="48" t="s">
        <v>81</v>
      </c>
      <c r="B77" s="140">
        <v>420</v>
      </c>
      <c r="C77" s="189"/>
      <c r="D77" s="189"/>
      <c r="E77" s="138"/>
      <c r="F77" s="139">
        <f>G77+H77+I77+R77+S77</f>
        <v>0</v>
      </c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>
        <f>T77+U77+V77</f>
        <v>0</v>
      </c>
      <c r="T77" s="139"/>
      <c r="U77" s="139"/>
      <c r="V77" s="139"/>
      <c r="W77" s="82"/>
      <c r="X77" s="66"/>
      <c r="Y77" s="67"/>
      <c r="Z77" s="68"/>
      <c r="AA77" s="66"/>
      <c r="AB77" s="65"/>
      <c r="AC77" s="65"/>
      <c r="AD77" s="68"/>
      <c r="AE77" s="67"/>
      <c r="AF77" s="65"/>
      <c r="AG77" s="68"/>
      <c r="AH77" s="39"/>
    </row>
    <row r="78" spans="1:34" ht="18.75">
      <c r="A78" s="48" t="s">
        <v>82</v>
      </c>
      <c r="B78" s="140">
        <v>500</v>
      </c>
      <c r="C78" s="189" t="s">
        <v>62</v>
      </c>
      <c r="D78" s="189"/>
      <c r="E78" s="138"/>
      <c r="F78" s="139">
        <f>G78+H78+I78+R78+S78</f>
        <v>31157.46</v>
      </c>
      <c r="G78" s="139">
        <v>0</v>
      </c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>
        <f>T78+U78+V78</f>
        <v>31157.46</v>
      </c>
      <c r="T78" s="139">
        <v>0</v>
      </c>
      <c r="U78" s="139">
        <v>31157.46</v>
      </c>
      <c r="V78" s="139"/>
      <c r="W78" s="82"/>
      <c r="X78" s="94"/>
      <c r="Y78" s="94"/>
      <c r="Z78" s="95"/>
      <c r="AA78" s="94"/>
      <c r="AB78" s="96"/>
      <c r="AC78" s="96"/>
      <c r="AD78" s="95"/>
      <c r="AE78" s="97"/>
      <c r="AF78" s="98"/>
      <c r="AG78" s="95"/>
      <c r="AH78" s="39"/>
    </row>
    <row r="79" spans="1:34" ht="18.75">
      <c r="A79" s="48" t="s">
        <v>83</v>
      </c>
      <c r="B79" s="140">
        <v>600</v>
      </c>
      <c r="C79" s="189" t="s">
        <v>62</v>
      </c>
      <c r="D79" s="189"/>
      <c r="E79" s="138"/>
      <c r="F79" s="139">
        <f>G79+H79+I79+R79+S79</f>
        <v>247667.3500000001</v>
      </c>
      <c r="G79" s="139">
        <f aca="true" t="shared" si="16" ref="G79:R79">G78+G9-G27</f>
        <v>0</v>
      </c>
      <c r="H79" s="139">
        <f t="shared" si="16"/>
        <v>0</v>
      </c>
      <c r="I79" s="139">
        <f t="shared" si="16"/>
        <v>0</v>
      </c>
      <c r="J79" s="139">
        <f t="shared" si="16"/>
        <v>0</v>
      </c>
      <c r="K79" s="139">
        <f t="shared" si="16"/>
        <v>0</v>
      </c>
      <c r="L79" s="139">
        <f t="shared" si="16"/>
        <v>0</v>
      </c>
      <c r="M79" s="139">
        <f t="shared" si="16"/>
        <v>0</v>
      </c>
      <c r="N79" s="139">
        <f t="shared" si="16"/>
        <v>0</v>
      </c>
      <c r="O79" s="139">
        <f t="shared" si="16"/>
        <v>0</v>
      </c>
      <c r="P79" s="139">
        <f t="shared" si="16"/>
        <v>0</v>
      </c>
      <c r="Q79" s="139">
        <f t="shared" si="16"/>
        <v>0</v>
      </c>
      <c r="R79" s="139">
        <f t="shared" si="16"/>
        <v>0</v>
      </c>
      <c r="S79" s="139">
        <f>T79+U79+V79</f>
        <v>247667.3500000001</v>
      </c>
      <c r="T79" s="139">
        <f>T78+T9-T27</f>
        <v>0</v>
      </c>
      <c r="U79" s="139">
        <f>U78+U9-U27</f>
        <v>237667.3500000001</v>
      </c>
      <c r="V79" s="139">
        <f>V78+V9-V27</f>
        <v>10000</v>
      </c>
      <c r="W79" s="82"/>
      <c r="X79" s="94"/>
      <c r="Y79" s="94"/>
      <c r="Z79" s="95"/>
      <c r="AA79" s="94"/>
      <c r="AB79" s="96"/>
      <c r="AC79" s="96"/>
      <c r="AD79" s="95"/>
      <c r="AE79" s="97"/>
      <c r="AF79" s="98"/>
      <c r="AG79" s="95"/>
      <c r="AH79" s="39"/>
    </row>
    <row r="80" spans="1:34" ht="19.5" thickBot="1">
      <c r="A80" s="48"/>
      <c r="B80" s="140"/>
      <c r="C80" s="189"/>
      <c r="D80" s="189"/>
      <c r="E80" s="138"/>
      <c r="F80" s="139"/>
      <c r="G80" s="144"/>
      <c r="H80" s="144"/>
      <c r="I80" s="144"/>
      <c r="J80" s="144"/>
      <c r="K80" s="144"/>
      <c r="L80" s="144"/>
      <c r="M80" s="144"/>
      <c r="N80" s="85"/>
      <c r="O80" s="85"/>
      <c r="P80" s="85"/>
      <c r="Q80" s="85"/>
      <c r="R80" s="85"/>
      <c r="S80" s="85"/>
      <c r="T80" s="85"/>
      <c r="U80" s="145"/>
      <c r="V80" s="85"/>
      <c r="W80" s="82"/>
      <c r="X80" s="94"/>
      <c r="Y80" s="94"/>
      <c r="Z80" s="95"/>
      <c r="AA80" s="94"/>
      <c r="AB80" s="96"/>
      <c r="AC80" s="96"/>
      <c r="AD80" s="95"/>
      <c r="AE80" s="97"/>
      <c r="AF80" s="98"/>
      <c r="AG80" s="95"/>
      <c r="AH80" s="39"/>
    </row>
    <row r="81" spans="1:33" ht="19.5" thickBot="1">
      <c r="A81" s="146"/>
      <c r="B81" s="147"/>
      <c r="C81" s="147"/>
      <c r="D81" s="191"/>
      <c r="E81" s="147"/>
      <c r="F81" s="86"/>
      <c r="G81" s="86"/>
      <c r="H81" s="86"/>
      <c r="I81" s="144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4"/>
      <c r="X81" s="71">
        <v>0</v>
      </c>
      <c r="Y81" s="69">
        <v>0</v>
      </c>
      <c r="Z81" s="70">
        <v>0</v>
      </c>
      <c r="AA81" s="71">
        <v>0</v>
      </c>
      <c r="AB81" s="69">
        <v>0</v>
      </c>
      <c r="AC81" s="69">
        <v>0</v>
      </c>
      <c r="AD81" s="70">
        <v>0</v>
      </c>
      <c r="AE81" s="73">
        <v>0</v>
      </c>
      <c r="AF81" s="72"/>
      <c r="AG81" s="70">
        <v>0</v>
      </c>
    </row>
    <row r="82" ht="12.75">
      <c r="A82" s="19"/>
    </row>
    <row r="84" ht="12.75">
      <c r="A84" s="19"/>
    </row>
    <row r="86" ht="12.75">
      <c r="A86" s="17"/>
    </row>
  </sheetData>
  <sheetProtection/>
  <mergeCells count="13">
    <mergeCell ref="D4:D7"/>
    <mergeCell ref="G6:G7"/>
    <mergeCell ref="S6:V6"/>
    <mergeCell ref="A4:A7"/>
    <mergeCell ref="E4:E7"/>
    <mergeCell ref="G4:U4"/>
    <mergeCell ref="W4:AG7"/>
    <mergeCell ref="L6:P6"/>
    <mergeCell ref="I6:I7"/>
    <mergeCell ref="C4:C7"/>
    <mergeCell ref="B4:B7"/>
    <mergeCell ref="F4:F7"/>
    <mergeCell ref="G5:U5"/>
  </mergeCells>
  <printOptions/>
  <pageMargins left="0.1968503937007874" right="0.1968503937007874" top="0.1968503937007874" bottom="0.1968503937007874" header="0" footer="0.1968503937007874"/>
  <pageSetup horizontalDpi="600" verticalDpi="600" orientation="landscape" paperSize="9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9">
      <selection activeCell="A1" sqref="A1:D21"/>
    </sheetView>
  </sheetViews>
  <sheetFormatPr defaultColWidth="9.00390625" defaultRowHeight="12.75"/>
  <cols>
    <col min="1" max="1" width="7.25390625" style="0" customWidth="1"/>
    <col min="2" max="2" width="34.125" style="0" customWidth="1"/>
    <col min="3" max="3" width="21.125" style="0" customWidth="1"/>
    <col min="4" max="4" width="20.625" style="0" customWidth="1"/>
  </cols>
  <sheetData>
    <row r="1" spans="1:4" ht="15">
      <c r="A1" s="295" t="s">
        <v>191</v>
      </c>
      <c r="B1" s="295"/>
      <c r="C1" s="295"/>
      <c r="D1" s="295"/>
    </row>
    <row r="2" spans="1:4" ht="15">
      <c r="A2" s="295" t="s">
        <v>192</v>
      </c>
      <c r="B2" s="295"/>
      <c r="C2" s="295"/>
      <c r="D2" s="295"/>
    </row>
    <row r="3" spans="1:4" ht="15">
      <c r="A3" s="295" t="s">
        <v>193</v>
      </c>
      <c r="B3" s="295"/>
      <c r="C3" s="295"/>
      <c r="D3" s="295"/>
    </row>
    <row r="4" spans="1:4" ht="15">
      <c r="A4" s="295" t="s">
        <v>194</v>
      </c>
      <c r="B4" s="295"/>
      <c r="C4" s="295"/>
      <c r="D4" s="295"/>
    </row>
    <row r="5" spans="1:4" ht="15">
      <c r="A5" s="295" t="s">
        <v>195</v>
      </c>
      <c r="B5" s="295"/>
      <c r="C5" s="295"/>
      <c r="D5" s="295"/>
    </row>
    <row r="6" ht="0.75" customHeight="1" thickBot="1">
      <c r="A6" s="131"/>
    </row>
    <row r="7" spans="1:4" ht="60.75" thickBot="1">
      <c r="A7" s="119" t="s">
        <v>177</v>
      </c>
      <c r="B7" s="120" t="s">
        <v>196</v>
      </c>
      <c r="C7" s="120" t="s">
        <v>197</v>
      </c>
      <c r="D7" s="120" t="s">
        <v>198</v>
      </c>
    </row>
    <row r="8" spans="1:4" ht="15.75" thickBot="1">
      <c r="A8" s="128">
        <v>1</v>
      </c>
      <c r="B8" s="118">
        <v>2</v>
      </c>
      <c r="C8" s="118">
        <v>3</v>
      </c>
      <c r="D8" s="118">
        <v>4</v>
      </c>
    </row>
    <row r="9" spans="1:4" ht="30.75" thickBot="1">
      <c r="A9" s="160">
        <v>1</v>
      </c>
      <c r="B9" s="129" t="s">
        <v>199</v>
      </c>
      <c r="C9" s="161" t="s">
        <v>139</v>
      </c>
      <c r="D9" s="161">
        <f>D10+D11+D12</f>
        <v>5417166.8254</v>
      </c>
    </row>
    <row r="10" spans="1:4" ht="15.75" thickBot="1">
      <c r="A10" s="160" t="s">
        <v>208</v>
      </c>
      <c r="B10" s="129" t="s">
        <v>200</v>
      </c>
      <c r="C10" s="161">
        <v>24623485.57</v>
      </c>
      <c r="D10" s="161">
        <f>C10*22%</f>
        <v>5417166.8254</v>
      </c>
    </row>
    <row r="11" spans="1:4" ht="15.75" thickBot="1">
      <c r="A11" s="160" t="s">
        <v>209</v>
      </c>
      <c r="B11" s="129" t="s">
        <v>201</v>
      </c>
      <c r="C11" s="161"/>
      <c r="D11" s="161"/>
    </row>
    <row r="12" spans="1:4" ht="60.75" thickBot="1">
      <c r="A12" s="160" t="s">
        <v>210</v>
      </c>
      <c r="B12" s="129" t="s">
        <v>202</v>
      </c>
      <c r="C12" s="161"/>
      <c r="D12" s="161"/>
    </row>
    <row r="13" spans="1:4" ht="45.75" thickBot="1">
      <c r="A13" s="160">
        <v>2</v>
      </c>
      <c r="B13" s="129" t="s">
        <v>203</v>
      </c>
      <c r="C13" s="161" t="s">
        <v>139</v>
      </c>
      <c r="D13" s="161">
        <f>D14+D16+D17+D18+D19</f>
        <v>783026.841126</v>
      </c>
    </row>
    <row r="14" spans="1:4" ht="15">
      <c r="A14" s="306" t="s">
        <v>211</v>
      </c>
      <c r="B14" s="157" t="s">
        <v>7</v>
      </c>
      <c r="C14" s="308">
        <v>24623485.57</v>
      </c>
      <c r="D14" s="308">
        <f>C14*2.9%</f>
        <v>714081.08153</v>
      </c>
    </row>
    <row r="15" spans="1:4" ht="60.75" thickBot="1">
      <c r="A15" s="307"/>
      <c r="B15" s="129" t="s">
        <v>204</v>
      </c>
      <c r="C15" s="309"/>
      <c r="D15" s="309"/>
    </row>
    <row r="16" spans="1:4" ht="60.75" thickBot="1">
      <c r="A16" s="160" t="s">
        <v>212</v>
      </c>
      <c r="B16" s="129" t="s">
        <v>205</v>
      </c>
      <c r="C16" s="161"/>
      <c r="D16" s="161"/>
    </row>
    <row r="17" spans="1:4" ht="75.75" thickBot="1">
      <c r="A17" s="160" t="s">
        <v>213</v>
      </c>
      <c r="B17" s="129" t="s">
        <v>206</v>
      </c>
      <c r="C17" s="161"/>
      <c r="D17" s="161"/>
    </row>
    <row r="18" spans="1:4" ht="75.75" thickBot="1">
      <c r="A18" s="160" t="s">
        <v>214</v>
      </c>
      <c r="B18" s="129" t="s">
        <v>217</v>
      </c>
      <c r="C18" s="161">
        <v>24623485.57</v>
      </c>
      <c r="D18" s="161">
        <f>C18*0.28%</f>
        <v>68945.75959600002</v>
      </c>
    </row>
    <row r="19" spans="1:4" ht="75.75" thickBot="1">
      <c r="A19" s="160" t="s">
        <v>215</v>
      </c>
      <c r="B19" s="129" t="s">
        <v>216</v>
      </c>
      <c r="C19" s="161"/>
      <c r="D19" s="161"/>
    </row>
    <row r="20" spans="1:4" ht="45.75" thickBot="1">
      <c r="A20" s="160">
        <v>3</v>
      </c>
      <c r="B20" s="129" t="s">
        <v>207</v>
      </c>
      <c r="C20" s="161">
        <v>24623485.57</v>
      </c>
      <c r="D20" s="161">
        <f>C20*5.1%</f>
        <v>1255797.76407</v>
      </c>
    </row>
    <row r="21" spans="1:4" ht="15.75" thickBot="1">
      <c r="A21" s="117"/>
      <c r="B21" s="158" t="s">
        <v>188</v>
      </c>
      <c r="C21" s="161" t="s">
        <v>139</v>
      </c>
      <c r="D21" s="161">
        <f>D9+D13+D20</f>
        <v>7455991.430596001</v>
      </c>
    </row>
  </sheetData>
  <sheetProtection/>
  <mergeCells count="8">
    <mergeCell ref="A1:D1"/>
    <mergeCell ref="A2:D2"/>
    <mergeCell ref="A3:D3"/>
    <mergeCell ref="A4:D4"/>
    <mergeCell ref="A5:D5"/>
    <mergeCell ref="A14:A15"/>
    <mergeCell ref="C14:C15"/>
    <mergeCell ref="D14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1"/>
  <sheetViews>
    <sheetView zoomScalePageLayoutView="0" workbookViewId="0" topLeftCell="A34">
      <selection activeCell="E31" sqref="E31"/>
    </sheetView>
  </sheetViews>
  <sheetFormatPr defaultColWidth="9.00390625" defaultRowHeight="12.75"/>
  <cols>
    <col min="2" max="2" width="26.125" style="0" customWidth="1"/>
    <col min="4" max="4" width="15.875" style="0" customWidth="1"/>
    <col min="5" max="5" width="16.625" style="0" customWidth="1"/>
    <col min="6" max="6" width="12.00390625" style="0" customWidth="1"/>
    <col min="7" max="7" width="15.125" style="0" customWidth="1"/>
    <col min="10" max="10" width="15.625" style="0" customWidth="1"/>
  </cols>
  <sheetData>
    <row r="1" spans="8:10" ht="12.75">
      <c r="H1" s="301" t="s">
        <v>189</v>
      </c>
      <c r="I1" s="301"/>
      <c r="J1" s="301"/>
    </row>
    <row r="2" spans="7:10" ht="75" customHeight="1">
      <c r="G2" s="302" t="s">
        <v>190</v>
      </c>
      <c r="H2" s="302"/>
      <c r="I2" s="302"/>
      <c r="J2" s="302"/>
    </row>
    <row r="4" spans="1:10" ht="15">
      <c r="A4" s="295" t="s">
        <v>172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5">
      <c r="A5" s="295" t="s">
        <v>173</v>
      </c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5">
      <c r="A6" s="295" t="s">
        <v>174</v>
      </c>
      <c r="B6" s="295"/>
      <c r="C6" s="295"/>
      <c r="D6" s="295"/>
      <c r="E6" s="295"/>
      <c r="F6" s="295"/>
      <c r="G6" s="295"/>
      <c r="H6" s="295"/>
      <c r="I6" s="295"/>
      <c r="J6" s="295"/>
    </row>
    <row r="7" spans="2:4" ht="15">
      <c r="B7" s="131"/>
      <c r="D7" s="121" t="s">
        <v>243</v>
      </c>
    </row>
    <row r="8" spans="1:10" ht="12.75">
      <c r="A8" s="296" t="s">
        <v>175</v>
      </c>
      <c r="B8" s="296"/>
      <c r="C8" s="296"/>
      <c r="D8" s="296"/>
      <c r="E8" s="296"/>
      <c r="F8" s="296"/>
      <c r="G8" s="296"/>
      <c r="H8" s="296"/>
      <c r="I8" s="296"/>
      <c r="J8" s="296"/>
    </row>
    <row r="9" ht="15">
      <c r="B9" s="131"/>
    </row>
    <row r="10" spans="1:10" ht="15">
      <c r="A10" s="295" t="s">
        <v>241</v>
      </c>
      <c r="B10" s="295"/>
      <c r="C10" s="295"/>
      <c r="D10" s="295"/>
      <c r="E10" s="295"/>
      <c r="F10" s="295"/>
      <c r="G10" s="295"/>
      <c r="H10" s="295"/>
      <c r="I10" s="295"/>
      <c r="J10" s="295"/>
    </row>
    <row r="11" ht="15">
      <c r="B11" s="131"/>
    </row>
    <row r="12" spans="1:10" ht="15">
      <c r="A12" s="295" t="s">
        <v>242</v>
      </c>
      <c r="B12" s="295"/>
      <c r="C12" s="295"/>
      <c r="D12" s="295"/>
      <c r="E12" s="295"/>
      <c r="F12" s="295"/>
      <c r="G12" s="295"/>
      <c r="H12" s="295"/>
      <c r="I12" s="295"/>
      <c r="J12" s="295"/>
    </row>
    <row r="13" ht="15">
      <c r="B13" s="131"/>
    </row>
    <row r="14" spans="1:10" ht="15.75" thickBot="1">
      <c r="A14" s="300" t="s">
        <v>176</v>
      </c>
      <c r="B14" s="300"/>
      <c r="C14" s="300"/>
      <c r="D14" s="300"/>
      <c r="E14" s="300"/>
      <c r="F14" s="300"/>
      <c r="G14" s="300"/>
      <c r="H14" s="300"/>
      <c r="I14" s="300"/>
      <c r="J14" s="300"/>
    </row>
    <row r="15" spans="1:10" ht="15.75" thickBot="1">
      <c r="A15" s="297" t="s">
        <v>177</v>
      </c>
      <c r="B15" s="297" t="s">
        <v>178</v>
      </c>
      <c r="C15" s="297" t="s">
        <v>179</v>
      </c>
      <c r="D15" s="303" t="s">
        <v>180</v>
      </c>
      <c r="E15" s="304"/>
      <c r="F15" s="304"/>
      <c r="G15" s="305"/>
      <c r="H15" s="297" t="s">
        <v>181</v>
      </c>
      <c r="I15" s="297" t="s">
        <v>182</v>
      </c>
      <c r="J15" s="297" t="s">
        <v>183</v>
      </c>
    </row>
    <row r="16" spans="1:10" ht="15.75" thickBot="1">
      <c r="A16" s="298"/>
      <c r="B16" s="298"/>
      <c r="C16" s="298"/>
      <c r="D16" s="297" t="s">
        <v>184</v>
      </c>
      <c r="E16" s="303" t="s">
        <v>7</v>
      </c>
      <c r="F16" s="304"/>
      <c r="G16" s="305"/>
      <c r="H16" s="298"/>
      <c r="I16" s="298"/>
      <c r="J16" s="298"/>
    </row>
    <row r="17" spans="1:10" ht="75.75" thickBot="1">
      <c r="A17" s="299"/>
      <c r="B17" s="299"/>
      <c r="C17" s="299"/>
      <c r="D17" s="299"/>
      <c r="E17" s="118" t="s">
        <v>185</v>
      </c>
      <c r="F17" s="118" t="s">
        <v>186</v>
      </c>
      <c r="G17" s="118" t="s">
        <v>187</v>
      </c>
      <c r="H17" s="299"/>
      <c r="I17" s="299"/>
      <c r="J17" s="299"/>
    </row>
    <row r="18" spans="1:10" ht="15.75" thickBot="1">
      <c r="A18" s="128">
        <v>1</v>
      </c>
      <c r="B18" s="118">
        <v>2</v>
      </c>
      <c r="C18" s="118">
        <v>3</v>
      </c>
      <c r="D18" s="118">
        <v>4</v>
      </c>
      <c r="E18" s="118">
        <v>5</v>
      </c>
      <c r="F18" s="118">
        <v>6</v>
      </c>
      <c r="G18" s="118">
        <v>7</v>
      </c>
      <c r="H18" s="118">
        <v>8</v>
      </c>
      <c r="I18" s="118">
        <v>9</v>
      </c>
      <c r="J18" s="118">
        <v>10</v>
      </c>
    </row>
    <row r="19" spans="1:10" ht="16.5" thickBot="1">
      <c r="A19" s="176">
        <v>1</v>
      </c>
      <c r="B19" s="164" t="s">
        <v>218</v>
      </c>
      <c r="C19" s="174">
        <v>1</v>
      </c>
      <c r="D19" s="177">
        <f>E19+F19+G19</f>
        <v>58343.452815</v>
      </c>
      <c r="E19" s="175">
        <v>38805.09</v>
      </c>
      <c r="F19" s="177"/>
      <c r="G19" s="177">
        <f>E19*50.35%</f>
        <v>19538.362815</v>
      </c>
      <c r="H19" s="177"/>
      <c r="I19" s="177"/>
      <c r="J19" s="177">
        <f>C19*D19*12</f>
        <v>700121.43378</v>
      </c>
    </row>
    <row r="20" spans="1:10" ht="16.5" thickBot="1">
      <c r="A20" s="176">
        <v>2</v>
      </c>
      <c r="B20" s="165" t="s">
        <v>219</v>
      </c>
      <c r="C20" s="174">
        <v>2</v>
      </c>
      <c r="D20" s="177">
        <f aca="true" t="shared" si="0" ref="D20:D43">E20+F20+G20</f>
        <v>40840.41246000001</v>
      </c>
      <c r="E20" s="175">
        <v>27163.56</v>
      </c>
      <c r="F20" s="177"/>
      <c r="G20" s="177">
        <f>E20*50.35%</f>
        <v>13676.852460000002</v>
      </c>
      <c r="H20" s="177"/>
      <c r="I20" s="177"/>
      <c r="J20" s="177">
        <f aca="true" t="shared" si="1" ref="J20:J44">C20*D20*12</f>
        <v>980169.8990400002</v>
      </c>
    </row>
    <row r="21" spans="1:10" ht="16.5" thickBot="1">
      <c r="A21" s="176">
        <v>3</v>
      </c>
      <c r="B21" s="166" t="s">
        <v>158</v>
      </c>
      <c r="C21" s="174">
        <v>1</v>
      </c>
      <c r="D21" s="177">
        <f t="shared" si="0"/>
        <v>40840.41246000001</v>
      </c>
      <c r="E21" s="175">
        <v>27163.56</v>
      </c>
      <c r="F21" s="177"/>
      <c r="G21" s="177">
        <f>E21*50.35%</f>
        <v>13676.852460000002</v>
      </c>
      <c r="H21" s="177"/>
      <c r="I21" s="177"/>
      <c r="J21" s="177">
        <f t="shared" si="1"/>
        <v>490084.9495200001</v>
      </c>
    </row>
    <row r="22" spans="1:10" ht="16.5" thickBot="1">
      <c r="A22" s="176">
        <v>4</v>
      </c>
      <c r="B22" s="166" t="s">
        <v>220</v>
      </c>
      <c r="C22" s="174">
        <v>2</v>
      </c>
      <c r="D22" s="177">
        <f t="shared" si="0"/>
        <v>9788.09</v>
      </c>
      <c r="E22" s="175">
        <v>5356</v>
      </c>
      <c r="F22" s="177"/>
      <c r="G22" s="177">
        <f>E22*82.75%</f>
        <v>4432.09</v>
      </c>
      <c r="H22" s="177"/>
      <c r="I22" s="177"/>
      <c r="J22" s="177">
        <f t="shared" si="1"/>
        <v>234914.16</v>
      </c>
    </row>
    <row r="23" spans="1:10" ht="16.5" thickBot="1">
      <c r="A23" s="176">
        <v>5</v>
      </c>
      <c r="B23" s="169" t="s">
        <v>221</v>
      </c>
      <c r="C23" s="174">
        <v>1</v>
      </c>
      <c r="D23" s="177">
        <f t="shared" si="0"/>
        <v>9782.6075</v>
      </c>
      <c r="E23" s="175">
        <v>5353</v>
      </c>
      <c r="F23" s="177"/>
      <c r="G23" s="177">
        <f aca="true" t="shared" si="2" ref="G23:G30">E23*82.75%</f>
        <v>4429.6075</v>
      </c>
      <c r="H23" s="177"/>
      <c r="I23" s="177"/>
      <c r="J23" s="177">
        <f t="shared" si="1"/>
        <v>117391.29000000001</v>
      </c>
    </row>
    <row r="24" spans="1:10" ht="16.5" thickBot="1">
      <c r="A24" s="176">
        <v>6</v>
      </c>
      <c r="B24" s="170" t="s">
        <v>222</v>
      </c>
      <c r="C24" s="174">
        <v>1</v>
      </c>
      <c r="D24" s="177">
        <f t="shared" si="0"/>
        <v>7643.5632000000005</v>
      </c>
      <c r="E24" s="175">
        <v>4446</v>
      </c>
      <c r="F24" s="177"/>
      <c r="G24" s="177">
        <f>E24*71.92%</f>
        <v>3197.5632</v>
      </c>
      <c r="H24" s="177"/>
      <c r="I24" s="177"/>
      <c r="J24" s="177">
        <f t="shared" si="1"/>
        <v>91722.7584</v>
      </c>
    </row>
    <row r="25" spans="1:10" ht="16.5" thickBot="1">
      <c r="A25" s="176">
        <v>7</v>
      </c>
      <c r="B25" s="166" t="s">
        <v>223</v>
      </c>
      <c r="C25" s="174">
        <v>1</v>
      </c>
      <c r="D25" s="177">
        <f t="shared" si="0"/>
        <v>8857.8925</v>
      </c>
      <c r="E25" s="175">
        <v>4847</v>
      </c>
      <c r="F25" s="177"/>
      <c r="G25" s="177">
        <f t="shared" si="2"/>
        <v>4010.8925</v>
      </c>
      <c r="H25" s="177"/>
      <c r="I25" s="177"/>
      <c r="J25" s="177">
        <f t="shared" si="1"/>
        <v>106294.70999999999</v>
      </c>
    </row>
    <row r="26" spans="1:10" ht="16.5" thickBot="1">
      <c r="A26" s="176">
        <v>8</v>
      </c>
      <c r="B26" s="166" t="s">
        <v>224</v>
      </c>
      <c r="C26" s="174">
        <v>1</v>
      </c>
      <c r="D26" s="177">
        <f t="shared" si="0"/>
        <v>8059.486500000001</v>
      </c>
      <c r="E26" s="175">
        <v>4446</v>
      </c>
      <c r="F26" s="177"/>
      <c r="G26" s="177">
        <f>E26*81.275%</f>
        <v>3613.4865000000004</v>
      </c>
      <c r="H26" s="177"/>
      <c r="I26" s="177"/>
      <c r="J26" s="177">
        <f>C26*D26*12-0.13</f>
        <v>96713.70800000001</v>
      </c>
    </row>
    <row r="27" spans="1:10" ht="32.25" thickBot="1">
      <c r="A27" s="176">
        <v>9</v>
      </c>
      <c r="B27" s="166" t="s">
        <v>225</v>
      </c>
      <c r="C27" s="174">
        <v>1</v>
      </c>
      <c r="D27" s="177">
        <f t="shared" si="0"/>
        <v>10243.1375</v>
      </c>
      <c r="E27" s="175">
        <v>5605</v>
      </c>
      <c r="F27" s="177"/>
      <c r="G27" s="177">
        <f t="shared" si="2"/>
        <v>4638.1375</v>
      </c>
      <c r="H27" s="177"/>
      <c r="I27" s="177"/>
      <c r="J27" s="177">
        <f t="shared" si="1"/>
        <v>122917.65000000001</v>
      </c>
    </row>
    <row r="28" spans="1:10" ht="16.5" thickBot="1">
      <c r="A28" s="176">
        <v>10</v>
      </c>
      <c r="B28" s="166" t="s">
        <v>226</v>
      </c>
      <c r="C28" s="174">
        <v>1</v>
      </c>
      <c r="D28" s="177">
        <f t="shared" si="0"/>
        <v>8857.8925</v>
      </c>
      <c r="E28" s="175">
        <v>4847</v>
      </c>
      <c r="F28" s="177"/>
      <c r="G28" s="177">
        <f t="shared" si="2"/>
        <v>4010.8925</v>
      </c>
      <c r="H28" s="177"/>
      <c r="I28" s="177"/>
      <c r="J28" s="177">
        <f t="shared" si="1"/>
        <v>106294.70999999999</v>
      </c>
    </row>
    <row r="29" spans="1:10" ht="16.5" thickBot="1">
      <c r="A29" s="176">
        <v>11</v>
      </c>
      <c r="B29" s="171" t="s">
        <v>227</v>
      </c>
      <c r="C29" s="174">
        <v>0.5</v>
      </c>
      <c r="D29" s="177">
        <f t="shared" si="0"/>
        <v>9333.0425</v>
      </c>
      <c r="E29" s="175">
        <v>5107</v>
      </c>
      <c r="F29" s="177"/>
      <c r="G29" s="177">
        <f t="shared" si="2"/>
        <v>4226.0425000000005</v>
      </c>
      <c r="H29" s="177"/>
      <c r="I29" s="177"/>
      <c r="J29" s="177">
        <f t="shared" si="1"/>
        <v>55998.255</v>
      </c>
    </row>
    <row r="30" spans="1:10" ht="16.5" thickBot="1">
      <c r="A30" s="176">
        <v>12</v>
      </c>
      <c r="B30" s="166" t="s">
        <v>228</v>
      </c>
      <c r="C30" s="174">
        <v>0.5</v>
      </c>
      <c r="D30" s="177">
        <f t="shared" si="0"/>
        <v>8494.220000000001</v>
      </c>
      <c r="E30" s="175">
        <v>4648</v>
      </c>
      <c r="F30" s="177"/>
      <c r="G30" s="177">
        <f t="shared" si="2"/>
        <v>3846.2200000000003</v>
      </c>
      <c r="H30" s="177"/>
      <c r="I30" s="177"/>
      <c r="J30" s="177">
        <f t="shared" si="1"/>
        <v>50965.32000000001</v>
      </c>
    </row>
    <row r="31" spans="1:10" ht="16.5" thickBot="1">
      <c r="A31" s="176">
        <v>13</v>
      </c>
      <c r="B31" s="166" t="s">
        <v>229</v>
      </c>
      <c r="C31" s="174">
        <v>11.5</v>
      </c>
      <c r="D31" s="177">
        <f t="shared" si="0"/>
        <v>11833.1945</v>
      </c>
      <c r="E31" s="175">
        <v>6515</v>
      </c>
      <c r="F31" s="178"/>
      <c r="G31" s="177">
        <f>E31*81.63%</f>
        <v>5318.1945</v>
      </c>
      <c r="H31" s="178"/>
      <c r="I31" s="178"/>
      <c r="J31" s="177">
        <f t="shared" si="1"/>
        <v>1632980.8409999998</v>
      </c>
    </row>
    <row r="32" spans="1:10" ht="32.25" thickBot="1">
      <c r="A32" s="176">
        <v>14</v>
      </c>
      <c r="B32" s="172" t="s">
        <v>230</v>
      </c>
      <c r="C32" s="174">
        <v>6</v>
      </c>
      <c r="D32" s="177">
        <f t="shared" si="0"/>
        <v>21075.085</v>
      </c>
      <c r="E32" s="175">
        <v>6194</v>
      </c>
      <c r="F32" s="178"/>
      <c r="G32" s="177">
        <f>E32*240.25%</f>
        <v>14881.085</v>
      </c>
      <c r="H32" s="178"/>
      <c r="I32" s="178"/>
      <c r="J32" s="177">
        <f t="shared" si="1"/>
        <v>1517406.1199999999</v>
      </c>
    </row>
    <row r="33" spans="1:10" ht="63.75" thickBot="1">
      <c r="A33" s="176">
        <v>15</v>
      </c>
      <c r="B33" s="166" t="s">
        <v>231</v>
      </c>
      <c r="C33" s="174">
        <v>2</v>
      </c>
      <c r="D33" s="177">
        <f t="shared" si="0"/>
        <v>21075.085</v>
      </c>
      <c r="E33" s="175">
        <v>6194</v>
      </c>
      <c r="F33" s="178"/>
      <c r="G33" s="177">
        <f>E33*240.25%</f>
        <v>14881.085</v>
      </c>
      <c r="H33" s="178"/>
      <c r="I33" s="178"/>
      <c r="J33" s="177">
        <f t="shared" si="1"/>
        <v>505802.04</v>
      </c>
    </row>
    <row r="34" spans="1:10" ht="16.5" thickBot="1">
      <c r="A34" s="176">
        <v>16</v>
      </c>
      <c r="B34" s="173" t="s">
        <v>232</v>
      </c>
      <c r="C34" s="174">
        <v>88.25</v>
      </c>
      <c r="D34" s="177">
        <f t="shared" si="0"/>
        <v>14509.9902</v>
      </c>
      <c r="E34" s="175">
        <v>4929</v>
      </c>
      <c r="F34" s="178"/>
      <c r="G34" s="177">
        <f>E34*194.38%</f>
        <v>9580.9902</v>
      </c>
      <c r="H34" s="178"/>
      <c r="I34" s="178"/>
      <c r="J34" s="177">
        <f t="shared" si="1"/>
        <v>15366079.6218</v>
      </c>
    </row>
    <row r="35" spans="1:10" ht="32.25" thickBot="1">
      <c r="A35" s="176">
        <v>17</v>
      </c>
      <c r="B35" s="166" t="s">
        <v>233</v>
      </c>
      <c r="C35" s="174">
        <v>14.5</v>
      </c>
      <c r="D35" s="177">
        <f t="shared" si="0"/>
        <v>9782.6075</v>
      </c>
      <c r="E35" s="175">
        <v>5353</v>
      </c>
      <c r="F35" s="178"/>
      <c r="G35" s="177">
        <f>E35*82.75%</f>
        <v>4429.6075</v>
      </c>
      <c r="H35" s="178"/>
      <c r="I35" s="178"/>
      <c r="J35" s="177">
        <f t="shared" si="1"/>
        <v>1702173.705</v>
      </c>
    </row>
    <row r="36" spans="1:10" ht="16.5" thickBot="1">
      <c r="A36" s="176">
        <v>18</v>
      </c>
      <c r="B36" s="166" t="s">
        <v>223</v>
      </c>
      <c r="C36" s="174">
        <v>0.75</v>
      </c>
      <c r="D36" s="177">
        <f t="shared" si="0"/>
        <v>8857.8925</v>
      </c>
      <c r="E36" s="175">
        <v>4847</v>
      </c>
      <c r="F36" s="178"/>
      <c r="G36" s="177">
        <f>E36*82.75%</f>
        <v>4010.8925</v>
      </c>
      <c r="H36" s="178"/>
      <c r="I36" s="178"/>
      <c r="J36" s="177">
        <f t="shared" si="1"/>
        <v>79721.0325</v>
      </c>
    </row>
    <row r="37" spans="1:10" ht="16.5" thickBot="1">
      <c r="A37" s="176">
        <v>19</v>
      </c>
      <c r="B37" s="166" t="s">
        <v>234</v>
      </c>
      <c r="C37" s="174">
        <v>1.5</v>
      </c>
      <c r="D37" s="177">
        <f t="shared" si="0"/>
        <v>9782.6075</v>
      </c>
      <c r="E37" s="175">
        <v>5353</v>
      </c>
      <c r="F37" s="178"/>
      <c r="G37" s="177">
        <f>E37*82.75%</f>
        <v>4429.6075</v>
      </c>
      <c r="H37" s="178"/>
      <c r="I37" s="178"/>
      <c r="J37" s="177">
        <f t="shared" si="1"/>
        <v>176086.935</v>
      </c>
    </row>
    <row r="38" spans="1:10" ht="16.5" thickBot="1">
      <c r="A38" s="176">
        <v>20</v>
      </c>
      <c r="B38" s="166" t="s">
        <v>235</v>
      </c>
      <c r="C38" s="174">
        <v>2</v>
      </c>
      <c r="D38" s="177">
        <f t="shared" si="0"/>
        <v>9626.008</v>
      </c>
      <c r="E38" s="175">
        <v>4648</v>
      </c>
      <c r="F38" s="177">
        <f aca="true" t="shared" si="3" ref="F38:F43">E38*21.7%</f>
        <v>1008.616</v>
      </c>
      <c r="G38" s="177">
        <f aca="true" t="shared" si="4" ref="G38:G43">E38*85.4%</f>
        <v>3969.3920000000003</v>
      </c>
      <c r="H38" s="178"/>
      <c r="I38" s="178"/>
      <c r="J38" s="177">
        <f t="shared" si="1"/>
        <v>231024.19199999998</v>
      </c>
    </row>
    <row r="39" spans="1:10" ht="32.25" thickBot="1">
      <c r="A39" s="176">
        <v>21</v>
      </c>
      <c r="B39" s="172" t="s">
        <v>236</v>
      </c>
      <c r="C39" s="174">
        <v>1.5</v>
      </c>
      <c r="D39" s="177">
        <f t="shared" si="0"/>
        <v>8851.454</v>
      </c>
      <c r="E39" s="175">
        <v>4274</v>
      </c>
      <c r="F39" s="177">
        <f t="shared" si="3"/>
        <v>927.458</v>
      </c>
      <c r="G39" s="177">
        <f t="shared" si="4"/>
        <v>3649.9960000000005</v>
      </c>
      <c r="H39" s="178"/>
      <c r="I39" s="178"/>
      <c r="J39" s="177">
        <f t="shared" si="1"/>
        <v>159326.17200000002</v>
      </c>
    </row>
    <row r="40" spans="1:10" ht="16.5" thickBot="1">
      <c r="A40" s="176">
        <v>22</v>
      </c>
      <c r="B40" s="166" t="s">
        <v>237</v>
      </c>
      <c r="C40" s="174">
        <v>4</v>
      </c>
      <c r="D40" s="177">
        <f t="shared" si="0"/>
        <v>8851.454</v>
      </c>
      <c r="E40" s="175">
        <v>4274</v>
      </c>
      <c r="F40" s="177">
        <f t="shared" si="3"/>
        <v>927.458</v>
      </c>
      <c r="G40" s="177">
        <f t="shared" si="4"/>
        <v>3649.9960000000005</v>
      </c>
      <c r="H40" s="178"/>
      <c r="I40" s="178"/>
      <c r="J40" s="177">
        <f t="shared" si="1"/>
        <v>424869.792</v>
      </c>
    </row>
    <row r="41" spans="1:10" ht="32.25" thickBot="1">
      <c r="A41" s="176">
        <v>23</v>
      </c>
      <c r="B41" s="166" t="s">
        <v>238</v>
      </c>
      <c r="C41" s="174">
        <v>1</v>
      </c>
      <c r="D41" s="177">
        <f t="shared" si="0"/>
        <v>8851.454</v>
      </c>
      <c r="E41" s="175">
        <v>4274</v>
      </c>
      <c r="F41" s="177">
        <f t="shared" si="3"/>
        <v>927.458</v>
      </c>
      <c r="G41" s="177">
        <f t="shared" si="4"/>
        <v>3649.9960000000005</v>
      </c>
      <c r="H41" s="178"/>
      <c r="I41" s="178"/>
      <c r="J41" s="177">
        <f t="shared" si="1"/>
        <v>106217.448</v>
      </c>
    </row>
    <row r="42" spans="1:10" ht="16.5" thickBot="1">
      <c r="A42" s="176">
        <v>24</v>
      </c>
      <c r="B42" s="166" t="s">
        <v>239</v>
      </c>
      <c r="C42" s="174">
        <v>0.5</v>
      </c>
      <c r="D42" s="177">
        <f t="shared" si="0"/>
        <v>9002.637</v>
      </c>
      <c r="E42" s="175">
        <v>4347</v>
      </c>
      <c r="F42" s="177">
        <f t="shared" si="3"/>
        <v>943.299</v>
      </c>
      <c r="G42" s="177">
        <f t="shared" si="4"/>
        <v>3712.338</v>
      </c>
      <c r="H42" s="178"/>
      <c r="I42" s="178"/>
      <c r="J42" s="177">
        <f t="shared" si="1"/>
        <v>54015.822</v>
      </c>
    </row>
    <row r="43" spans="1:10" ht="16.5" thickBot="1">
      <c r="A43" s="176">
        <v>25</v>
      </c>
      <c r="B43" s="166" t="s">
        <v>240</v>
      </c>
      <c r="C43" s="174">
        <v>3</v>
      </c>
      <c r="D43" s="177">
        <f t="shared" si="0"/>
        <v>8888.732</v>
      </c>
      <c r="E43" s="175">
        <v>4292</v>
      </c>
      <c r="F43" s="177">
        <f t="shared" si="3"/>
        <v>931.364</v>
      </c>
      <c r="G43" s="177">
        <f t="shared" si="4"/>
        <v>3665.3680000000004</v>
      </c>
      <c r="H43" s="178"/>
      <c r="I43" s="178"/>
      <c r="J43" s="177">
        <f t="shared" si="1"/>
        <v>319994.352</v>
      </c>
    </row>
    <row r="44" spans="1:10" ht="16.5" thickBot="1">
      <c r="A44" s="179"/>
      <c r="B44" s="168"/>
      <c r="C44" s="180"/>
      <c r="D44" s="178"/>
      <c r="E44" s="178"/>
      <c r="F44" s="178"/>
      <c r="G44" s="178">
        <f>E44*21.7%</f>
        <v>0</v>
      </c>
      <c r="H44" s="178"/>
      <c r="I44" s="178"/>
      <c r="J44" s="177">
        <f t="shared" si="1"/>
        <v>0</v>
      </c>
    </row>
    <row r="45" spans="1:10" ht="16.5" thickBot="1">
      <c r="A45" s="293" t="s">
        <v>188</v>
      </c>
      <c r="B45" s="294"/>
      <c r="C45" s="180" t="s">
        <v>139</v>
      </c>
      <c r="D45" s="178"/>
      <c r="E45" s="178" t="s">
        <v>139</v>
      </c>
      <c r="F45" s="178" t="s">
        <v>139</v>
      </c>
      <c r="G45" s="178" t="s">
        <v>139</v>
      </c>
      <c r="H45" s="178" t="s">
        <v>139</v>
      </c>
      <c r="I45" s="178" t="s">
        <v>139</v>
      </c>
      <c r="J45" s="178">
        <f>SUM(J19:J44)</f>
        <v>25429286.917039998</v>
      </c>
    </row>
    <row r="611" ht="12.75"/>
  </sheetData>
  <sheetProtection/>
  <mergeCells count="19">
    <mergeCell ref="J15:J17"/>
    <mergeCell ref="H1:J1"/>
    <mergeCell ref="G2:J2"/>
    <mergeCell ref="A4:J4"/>
    <mergeCell ref="A5:J5"/>
    <mergeCell ref="A6:J6"/>
    <mergeCell ref="A8:J8"/>
    <mergeCell ref="D16:D17"/>
    <mergeCell ref="E16:G16"/>
    <mergeCell ref="A45:B45"/>
    <mergeCell ref="A10:J10"/>
    <mergeCell ref="A12:J12"/>
    <mergeCell ref="A14:J14"/>
    <mergeCell ref="A15:A17"/>
    <mergeCell ref="B15:B17"/>
    <mergeCell ref="C15:C17"/>
    <mergeCell ref="D15:G15"/>
    <mergeCell ref="H15:H17"/>
    <mergeCell ref="I15:I17"/>
  </mergeCells>
  <hyperlinks>
    <hyperlink ref="A8" location="P611" display="P61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21"/>
    </sheetView>
  </sheetViews>
  <sheetFormatPr defaultColWidth="9.00390625" defaultRowHeight="12.75"/>
  <cols>
    <col min="2" max="2" width="36.25390625" style="0" customWidth="1"/>
    <col min="3" max="3" width="17.125" style="0" customWidth="1"/>
    <col min="4" max="4" width="20.125" style="0" customWidth="1"/>
  </cols>
  <sheetData>
    <row r="1" spans="1:4" ht="15">
      <c r="A1" s="295" t="s">
        <v>191</v>
      </c>
      <c r="B1" s="295"/>
      <c r="C1" s="295"/>
      <c r="D1" s="295"/>
    </row>
    <row r="2" spans="1:4" ht="15">
      <c r="A2" s="295" t="s">
        <v>192</v>
      </c>
      <c r="B2" s="295"/>
      <c r="C2" s="295"/>
      <c r="D2" s="295"/>
    </row>
    <row r="3" spans="1:4" ht="15">
      <c r="A3" s="295" t="s">
        <v>193</v>
      </c>
      <c r="B3" s="295"/>
      <c r="C3" s="295"/>
      <c r="D3" s="295"/>
    </row>
    <row r="4" spans="1:4" ht="15">
      <c r="A4" s="295" t="s">
        <v>194</v>
      </c>
      <c r="B4" s="295"/>
      <c r="C4" s="295"/>
      <c r="D4" s="295"/>
    </row>
    <row r="5" spans="1:4" ht="15">
      <c r="A5" s="295" t="s">
        <v>195</v>
      </c>
      <c r="B5" s="295"/>
      <c r="C5" s="295"/>
      <c r="D5" s="295"/>
    </row>
    <row r="6" ht="15.75" thickBot="1">
      <c r="A6" s="131"/>
    </row>
    <row r="7" spans="1:4" ht="60.75" thickBot="1">
      <c r="A7" s="119" t="s">
        <v>177</v>
      </c>
      <c r="B7" s="120" t="s">
        <v>196</v>
      </c>
      <c r="C7" s="120" t="s">
        <v>197</v>
      </c>
      <c r="D7" s="120" t="s">
        <v>198</v>
      </c>
    </row>
    <row r="8" spans="1:4" ht="15.75" thickBot="1">
      <c r="A8" s="128">
        <v>1</v>
      </c>
      <c r="B8" s="118">
        <v>2</v>
      </c>
      <c r="C8" s="118">
        <v>3</v>
      </c>
      <c r="D8" s="118">
        <v>4</v>
      </c>
    </row>
    <row r="9" spans="1:4" ht="34.5" customHeight="1" thickBot="1">
      <c r="A9" s="160">
        <v>1</v>
      </c>
      <c r="B9" s="129" t="s">
        <v>199</v>
      </c>
      <c r="C9" s="161" t="s">
        <v>139</v>
      </c>
      <c r="D9" s="161">
        <f>D10+D11+D12</f>
        <v>5594443.122400001</v>
      </c>
    </row>
    <row r="10" spans="1:4" ht="15.75" thickBot="1">
      <c r="A10" s="160" t="s">
        <v>208</v>
      </c>
      <c r="B10" s="129" t="s">
        <v>200</v>
      </c>
      <c r="C10" s="161">
        <v>25429286.92</v>
      </c>
      <c r="D10" s="161">
        <f>C10*22%</f>
        <v>5594443.122400001</v>
      </c>
    </row>
    <row r="11" spans="1:4" ht="15.75" thickBot="1">
      <c r="A11" s="160" t="s">
        <v>209</v>
      </c>
      <c r="B11" s="129" t="s">
        <v>201</v>
      </c>
      <c r="C11" s="161"/>
      <c r="D11" s="161"/>
    </row>
    <row r="12" spans="1:4" ht="60.75" thickBot="1">
      <c r="A12" s="160" t="s">
        <v>210</v>
      </c>
      <c r="B12" s="129" t="s">
        <v>202</v>
      </c>
      <c r="C12" s="161"/>
      <c r="D12" s="161"/>
    </row>
    <row r="13" spans="1:4" ht="45.75" thickBot="1">
      <c r="A13" s="160">
        <v>2</v>
      </c>
      <c r="B13" s="129" t="s">
        <v>203</v>
      </c>
      <c r="C13" s="161" t="s">
        <v>139</v>
      </c>
      <c r="D13" s="161">
        <f>D14+D16+D17+D18+D19</f>
        <v>808651.324056</v>
      </c>
    </row>
    <row r="14" spans="1:4" ht="15">
      <c r="A14" s="306" t="s">
        <v>211</v>
      </c>
      <c r="B14" s="157" t="s">
        <v>7</v>
      </c>
      <c r="C14" s="308">
        <v>25429286.92</v>
      </c>
      <c r="D14" s="308">
        <f>C14*2.9%</f>
        <v>737449.32068</v>
      </c>
    </row>
    <row r="15" spans="1:4" ht="60.75" thickBot="1">
      <c r="A15" s="307"/>
      <c r="B15" s="129" t="s">
        <v>204</v>
      </c>
      <c r="C15" s="309"/>
      <c r="D15" s="309"/>
    </row>
    <row r="16" spans="1:4" ht="45.75" thickBot="1">
      <c r="A16" s="160" t="s">
        <v>212</v>
      </c>
      <c r="B16" s="129" t="s">
        <v>205</v>
      </c>
      <c r="C16" s="161"/>
      <c r="D16" s="161"/>
    </row>
    <row r="17" spans="1:4" ht="60.75" thickBot="1">
      <c r="A17" s="160" t="s">
        <v>213</v>
      </c>
      <c r="B17" s="129" t="s">
        <v>206</v>
      </c>
      <c r="C17" s="161"/>
      <c r="D17" s="161"/>
    </row>
    <row r="18" spans="1:4" ht="60.75" thickBot="1">
      <c r="A18" s="160" t="s">
        <v>214</v>
      </c>
      <c r="B18" s="129" t="s">
        <v>217</v>
      </c>
      <c r="C18" s="161">
        <v>25429286.92</v>
      </c>
      <c r="D18" s="161">
        <f>C18*0.28%</f>
        <v>71202.00337600002</v>
      </c>
    </row>
    <row r="19" spans="1:4" ht="60.75" thickBot="1">
      <c r="A19" s="160" t="s">
        <v>215</v>
      </c>
      <c r="B19" s="129" t="s">
        <v>216</v>
      </c>
      <c r="C19" s="161"/>
      <c r="D19" s="161"/>
    </row>
    <row r="20" spans="1:4" ht="45.75" thickBot="1">
      <c r="A20" s="160">
        <v>3</v>
      </c>
      <c r="B20" s="129" t="s">
        <v>207</v>
      </c>
      <c r="C20" s="161">
        <v>25429286.92</v>
      </c>
      <c r="D20" s="161">
        <f>C20*5.1%</f>
        <v>1296893.63292</v>
      </c>
    </row>
    <row r="21" spans="1:4" ht="15.75" thickBot="1">
      <c r="A21" s="117"/>
      <c r="B21" s="158" t="s">
        <v>188</v>
      </c>
      <c r="C21" s="161" t="s">
        <v>139</v>
      </c>
      <c r="D21" s="161">
        <f>D9+D13+D20</f>
        <v>7699988.079376</v>
      </c>
    </row>
  </sheetData>
  <sheetProtection/>
  <mergeCells count="8">
    <mergeCell ref="A1:D1"/>
    <mergeCell ref="A2:D2"/>
    <mergeCell ref="A3:D3"/>
    <mergeCell ref="A4:D4"/>
    <mergeCell ref="A5:D5"/>
    <mergeCell ref="A14:A15"/>
    <mergeCell ref="C14:C15"/>
    <mergeCell ref="D14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1"/>
  <sheetViews>
    <sheetView zoomScalePageLayoutView="0" workbookViewId="0" topLeftCell="A13">
      <selection activeCell="F21" sqref="F21"/>
    </sheetView>
  </sheetViews>
  <sheetFormatPr defaultColWidth="9.00390625" defaultRowHeight="12.75"/>
  <cols>
    <col min="2" max="2" width="31.00390625" style="0" customWidth="1"/>
    <col min="4" max="4" width="16.75390625" style="0" customWidth="1"/>
    <col min="5" max="6" width="14.125" style="0" customWidth="1"/>
    <col min="7" max="7" width="15.125" style="0" customWidth="1"/>
    <col min="8" max="8" width="11.625" style="0" customWidth="1"/>
    <col min="9" max="9" width="9.25390625" style="0" customWidth="1"/>
    <col min="10" max="10" width="13.75390625" style="0" customWidth="1"/>
  </cols>
  <sheetData>
    <row r="1" spans="8:10" ht="12.75">
      <c r="H1" s="301" t="s">
        <v>189</v>
      </c>
      <c r="I1" s="301"/>
      <c r="J1" s="301"/>
    </row>
    <row r="2" spans="7:10" ht="75" customHeight="1">
      <c r="G2" s="302" t="s">
        <v>190</v>
      </c>
      <c r="H2" s="302"/>
      <c r="I2" s="302"/>
      <c r="J2" s="302"/>
    </row>
    <row r="4" spans="1:10" ht="15">
      <c r="A4" s="295" t="s">
        <v>172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5">
      <c r="A5" s="295" t="s">
        <v>173</v>
      </c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5">
      <c r="A6" s="295" t="s">
        <v>174</v>
      </c>
      <c r="B6" s="295"/>
      <c r="C6" s="295"/>
      <c r="D6" s="295"/>
      <c r="E6" s="295"/>
      <c r="F6" s="295"/>
      <c r="G6" s="295"/>
      <c r="H6" s="295"/>
      <c r="I6" s="295"/>
      <c r="J6" s="295"/>
    </row>
    <row r="7" spans="2:4" ht="15">
      <c r="B7" s="131"/>
      <c r="D7" s="121" t="s">
        <v>243</v>
      </c>
    </row>
    <row r="8" spans="1:10" ht="12.75">
      <c r="A8" s="296" t="s">
        <v>175</v>
      </c>
      <c r="B8" s="296"/>
      <c r="C8" s="296"/>
      <c r="D8" s="296"/>
      <c r="E8" s="296"/>
      <c r="F8" s="296"/>
      <c r="G8" s="296"/>
      <c r="H8" s="296"/>
      <c r="I8" s="296"/>
      <c r="J8" s="296"/>
    </row>
    <row r="9" ht="15">
      <c r="B9" s="131"/>
    </row>
    <row r="10" spans="1:10" ht="15">
      <c r="A10" s="295" t="s">
        <v>241</v>
      </c>
      <c r="B10" s="295"/>
      <c r="C10" s="295"/>
      <c r="D10" s="295"/>
      <c r="E10" s="295"/>
      <c r="F10" s="295"/>
      <c r="G10" s="295"/>
      <c r="H10" s="295"/>
      <c r="I10" s="295"/>
      <c r="J10" s="295"/>
    </row>
    <row r="11" ht="15">
      <c r="B11" s="131"/>
    </row>
    <row r="12" spans="1:10" ht="15">
      <c r="A12" s="295" t="s">
        <v>244</v>
      </c>
      <c r="B12" s="295"/>
      <c r="C12" s="295"/>
      <c r="D12" s="295"/>
      <c r="E12" s="295"/>
      <c r="F12" s="295"/>
      <c r="G12" s="295"/>
      <c r="H12" s="295"/>
      <c r="I12" s="295"/>
      <c r="J12" s="295"/>
    </row>
    <row r="13" spans="1:2" ht="15">
      <c r="A13" t="s">
        <v>247</v>
      </c>
      <c r="B13" s="131"/>
    </row>
    <row r="14" spans="1:10" ht="15.75" thickBot="1">
      <c r="A14" s="300" t="s">
        <v>176</v>
      </c>
      <c r="B14" s="300"/>
      <c r="C14" s="300"/>
      <c r="D14" s="300"/>
      <c r="E14" s="300"/>
      <c r="F14" s="300"/>
      <c r="G14" s="300"/>
      <c r="H14" s="300"/>
      <c r="I14" s="300"/>
      <c r="J14" s="300"/>
    </row>
    <row r="15" spans="1:10" ht="15.75" thickBot="1">
      <c r="A15" s="314" t="s">
        <v>248</v>
      </c>
      <c r="B15" s="314"/>
      <c r="C15" s="186"/>
      <c r="D15" s="162"/>
      <c r="E15" s="162"/>
      <c r="F15" s="162"/>
      <c r="G15" s="162"/>
      <c r="H15" s="186"/>
      <c r="I15" s="186"/>
      <c r="J15" s="186"/>
    </row>
    <row r="16" spans="1:10" ht="15.75" thickBot="1">
      <c r="A16" s="297" t="s">
        <v>177</v>
      </c>
      <c r="B16" s="297" t="s">
        <v>178</v>
      </c>
      <c r="C16" s="297" t="s">
        <v>179</v>
      </c>
      <c r="D16" s="303" t="s">
        <v>180</v>
      </c>
      <c r="E16" s="304"/>
      <c r="F16" s="304"/>
      <c r="G16" s="305"/>
      <c r="H16" s="297" t="s">
        <v>181</v>
      </c>
      <c r="I16" s="297" t="s">
        <v>182</v>
      </c>
      <c r="J16" s="297" t="s">
        <v>183</v>
      </c>
    </row>
    <row r="17" spans="1:10" ht="15.75" thickBot="1">
      <c r="A17" s="298"/>
      <c r="B17" s="298"/>
      <c r="C17" s="298"/>
      <c r="D17" s="297" t="s">
        <v>184</v>
      </c>
      <c r="E17" s="303" t="s">
        <v>7</v>
      </c>
      <c r="F17" s="304"/>
      <c r="G17" s="305"/>
      <c r="H17" s="298"/>
      <c r="I17" s="298"/>
      <c r="J17" s="298"/>
    </row>
    <row r="18" spans="1:10" ht="60.75" thickBot="1">
      <c r="A18" s="299"/>
      <c r="B18" s="299"/>
      <c r="C18" s="299"/>
      <c r="D18" s="299"/>
      <c r="E18" s="118" t="s">
        <v>185</v>
      </c>
      <c r="F18" s="118" t="s">
        <v>186</v>
      </c>
      <c r="G18" s="118" t="s">
        <v>187</v>
      </c>
      <c r="H18" s="299"/>
      <c r="I18" s="299"/>
      <c r="J18" s="299"/>
    </row>
    <row r="19" spans="1:10" ht="15.75" thickBot="1">
      <c r="A19" s="128">
        <v>1</v>
      </c>
      <c r="B19" s="118">
        <v>2</v>
      </c>
      <c r="C19" s="118">
        <v>3</v>
      </c>
      <c r="D19" s="118">
        <v>4</v>
      </c>
      <c r="E19" s="118">
        <v>5</v>
      </c>
      <c r="F19" s="118">
        <v>6</v>
      </c>
      <c r="G19" s="118">
        <v>7</v>
      </c>
      <c r="H19" s="118">
        <v>8</v>
      </c>
      <c r="I19" s="118">
        <v>9</v>
      </c>
      <c r="J19" s="118">
        <v>10</v>
      </c>
    </row>
    <row r="20" spans="1:10" ht="32.25" thickBot="1">
      <c r="A20" s="176">
        <v>1</v>
      </c>
      <c r="B20" s="172" t="s">
        <v>230</v>
      </c>
      <c r="C20" s="174">
        <v>6</v>
      </c>
      <c r="D20" s="177">
        <f>E20+F20+G20</f>
        <v>747.1</v>
      </c>
      <c r="E20" s="175"/>
      <c r="F20" s="178"/>
      <c r="G20" s="177">
        <v>747.1</v>
      </c>
      <c r="H20" s="178"/>
      <c r="I20" s="178"/>
      <c r="J20" s="177">
        <f>C20*D20*12</f>
        <v>53791.200000000004</v>
      </c>
    </row>
    <row r="21" spans="1:10" ht="48" thickBot="1">
      <c r="A21" s="176">
        <v>2</v>
      </c>
      <c r="B21" s="166" t="s">
        <v>231</v>
      </c>
      <c r="C21" s="174">
        <v>2</v>
      </c>
      <c r="D21" s="177">
        <f>E21+F21+G21</f>
        <v>748.05</v>
      </c>
      <c r="E21" s="175"/>
      <c r="F21" s="178"/>
      <c r="G21" s="177">
        <v>748.05</v>
      </c>
      <c r="H21" s="178"/>
      <c r="I21" s="178"/>
      <c r="J21" s="177">
        <f>C21*D21*12-0.37</f>
        <v>17952.829999999998</v>
      </c>
    </row>
    <row r="22" spans="1:10" ht="16.5" thickBot="1">
      <c r="A22" s="176">
        <v>3</v>
      </c>
      <c r="B22" s="173" t="s">
        <v>232</v>
      </c>
      <c r="C22" s="174">
        <v>88.25</v>
      </c>
      <c r="D22" s="177">
        <f>E22+F22+G22</f>
        <v>685</v>
      </c>
      <c r="E22" s="175"/>
      <c r="F22" s="178"/>
      <c r="G22" s="177">
        <v>685</v>
      </c>
      <c r="H22" s="178"/>
      <c r="I22" s="178"/>
      <c r="J22" s="177">
        <f>C22*D22*12</f>
        <v>725415</v>
      </c>
    </row>
    <row r="23" spans="1:10" ht="16.5" thickBot="1">
      <c r="A23" s="179"/>
      <c r="B23" s="168"/>
      <c r="C23" s="180"/>
      <c r="D23" s="178"/>
      <c r="E23" s="178"/>
      <c r="F23" s="178"/>
      <c r="G23" s="178">
        <f>E23*21.7%</f>
        <v>0</v>
      </c>
      <c r="H23" s="178"/>
      <c r="I23" s="178"/>
      <c r="J23" s="177">
        <f>C23*D23*12</f>
        <v>0</v>
      </c>
    </row>
    <row r="24" spans="1:10" ht="16.5" thickBot="1">
      <c r="A24" s="293" t="s">
        <v>188</v>
      </c>
      <c r="B24" s="294"/>
      <c r="C24" s="180" t="s">
        <v>139</v>
      </c>
      <c r="D24" s="178"/>
      <c r="E24" s="178" t="s">
        <v>139</v>
      </c>
      <c r="F24" s="178" t="s">
        <v>139</v>
      </c>
      <c r="G24" s="178" t="s">
        <v>139</v>
      </c>
      <c r="H24" s="178" t="s">
        <v>139</v>
      </c>
      <c r="I24" s="178" t="s">
        <v>139</v>
      </c>
      <c r="J24" s="178">
        <f>SUM(J20:J23)</f>
        <v>797159.03</v>
      </c>
    </row>
    <row r="28" ht="13.5" thickBot="1">
      <c r="A28" t="s">
        <v>249</v>
      </c>
    </row>
    <row r="29" spans="1:10" ht="15.75" thickBot="1">
      <c r="A29" s="297" t="s">
        <v>177</v>
      </c>
      <c r="B29" s="297" t="s">
        <v>178</v>
      </c>
      <c r="C29" s="297" t="s">
        <v>179</v>
      </c>
      <c r="D29" s="303" t="s">
        <v>180</v>
      </c>
      <c r="E29" s="304"/>
      <c r="F29" s="304"/>
      <c r="G29" s="305"/>
      <c r="H29" s="297" t="s">
        <v>181</v>
      </c>
      <c r="I29" s="297" t="s">
        <v>182</v>
      </c>
      <c r="J29" s="297" t="s">
        <v>183</v>
      </c>
    </row>
    <row r="30" spans="1:10" ht="15.75" thickBot="1">
      <c r="A30" s="298"/>
      <c r="B30" s="298"/>
      <c r="C30" s="298"/>
      <c r="D30" s="297" t="s">
        <v>184</v>
      </c>
      <c r="E30" s="303" t="s">
        <v>7</v>
      </c>
      <c r="F30" s="304"/>
      <c r="G30" s="305"/>
      <c r="H30" s="298"/>
      <c r="I30" s="298"/>
      <c r="J30" s="298"/>
    </row>
    <row r="31" spans="1:10" ht="93" customHeight="1" thickBot="1">
      <c r="A31" s="299"/>
      <c r="B31" s="299"/>
      <c r="C31" s="299"/>
      <c r="D31" s="299"/>
      <c r="E31" s="118" t="s">
        <v>185</v>
      </c>
      <c r="F31" s="118" t="s">
        <v>186</v>
      </c>
      <c r="G31" s="118" t="s">
        <v>187</v>
      </c>
      <c r="H31" s="299"/>
      <c r="I31" s="299"/>
      <c r="J31" s="299"/>
    </row>
    <row r="32" spans="1:10" ht="15">
      <c r="A32" s="163">
        <v>1</v>
      </c>
      <c r="B32" s="181">
        <v>2</v>
      </c>
      <c r="C32" s="181">
        <v>3</v>
      </c>
      <c r="D32" s="181">
        <v>4</v>
      </c>
      <c r="E32" s="181">
        <v>5</v>
      </c>
      <c r="F32" s="181">
        <v>6</v>
      </c>
      <c r="G32" s="181">
        <v>7</v>
      </c>
      <c r="H32" s="181">
        <v>8</v>
      </c>
      <c r="I32" s="181">
        <v>9</v>
      </c>
      <c r="J32" s="181">
        <v>10</v>
      </c>
    </row>
    <row r="33" spans="1:10" ht="15.75">
      <c r="A33" s="182">
        <v>1</v>
      </c>
      <c r="B33" s="166" t="s">
        <v>220</v>
      </c>
      <c r="C33" s="182">
        <v>2</v>
      </c>
      <c r="D33" s="183">
        <f aca="true" t="shared" si="0" ref="D33:D39">E33+F33+G33</f>
        <v>2005</v>
      </c>
      <c r="E33" s="182"/>
      <c r="F33" s="182"/>
      <c r="G33" s="182">
        <v>2005</v>
      </c>
      <c r="H33" s="182"/>
      <c r="I33" s="182"/>
      <c r="J33" s="183">
        <f aca="true" t="shared" si="1" ref="J33:J39">C33*D33*12</f>
        <v>48120</v>
      </c>
    </row>
    <row r="34" spans="1:10" ht="15.75">
      <c r="A34" s="182">
        <v>2</v>
      </c>
      <c r="B34" s="170" t="s">
        <v>221</v>
      </c>
      <c r="C34" s="182">
        <v>1</v>
      </c>
      <c r="D34" s="183">
        <f t="shared" si="0"/>
        <v>2000</v>
      </c>
      <c r="E34" s="182"/>
      <c r="F34" s="182"/>
      <c r="G34" s="182">
        <v>2000</v>
      </c>
      <c r="H34" s="182"/>
      <c r="I34" s="182"/>
      <c r="J34" s="183">
        <f t="shared" si="1"/>
        <v>24000</v>
      </c>
    </row>
    <row r="35" spans="1:10" ht="15.75">
      <c r="A35" s="182">
        <v>3</v>
      </c>
      <c r="B35" s="170" t="s">
        <v>222</v>
      </c>
      <c r="C35" s="182">
        <v>1</v>
      </c>
      <c r="D35" s="183">
        <f t="shared" si="0"/>
        <v>2000</v>
      </c>
      <c r="E35" s="182"/>
      <c r="F35" s="182"/>
      <c r="G35" s="182">
        <v>2000</v>
      </c>
      <c r="H35" s="182"/>
      <c r="I35" s="182"/>
      <c r="J35" s="183">
        <f>C35*D35*12+30</f>
        <v>24030</v>
      </c>
    </row>
    <row r="36" spans="1:10" ht="15.75">
      <c r="A36" s="182">
        <v>4</v>
      </c>
      <c r="B36" s="166" t="s">
        <v>223</v>
      </c>
      <c r="C36" s="182">
        <v>1</v>
      </c>
      <c r="D36" s="183">
        <f t="shared" si="0"/>
        <v>2000</v>
      </c>
      <c r="E36" s="182"/>
      <c r="F36" s="182"/>
      <c r="G36" s="182">
        <v>2000</v>
      </c>
      <c r="H36" s="182"/>
      <c r="I36" s="182"/>
      <c r="J36" s="183">
        <f t="shared" si="1"/>
        <v>24000</v>
      </c>
    </row>
    <row r="37" spans="1:10" ht="15.75">
      <c r="A37" s="182">
        <v>5</v>
      </c>
      <c r="B37" s="166" t="s">
        <v>226</v>
      </c>
      <c r="C37" s="182">
        <v>1</v>
      </c>
      <c r="D37" s="183">
        <f t="shared" si="0"/>
        <v>2000</v>
      </c>
      <c r="E37" s="182"/>
      <c r="F37" s="182"/>
      <c r="G37" s="182">
        <v>2000</v>
      </c>
      <c r="H37" s="182"/>
      <c r="I37" s="182"/>
      <c r="J37" s="183">
        <f t="shared" si="1"/>
        <v>24000</v>
      </c>
    </row>
    <row r="38" spans="1:10" ht="15.75">
      <c r="A38" s="182">
        <v>6</v>
      </c>
      <c r="B38" s="166" t="s">
        <v>229</v>
      </c>
      <c r="C38" s="182">
        <v>11.5</v>
      </c>
      <c r="D38" s="183">
        <f t="shared" si="0"/>
        <v>2075</v>
      </c>
      <c r="E38" s="182"/>
      <c r="F38" s="182"/>
      <c r="G38" s="182">
        <v>2075</v>
      </c>
      <c r="H38" s="182"/>
      <c r="I38" s="182"/>
      <c r="J38" s="183">
        <f>C38*D38*12</f>
        <v>286350</v>
      </c>
    </row>
    <row r="39" spans="1:10" ht="30" customHeight="1">
      <c r="A39" s="182">
        <v>7</v>
      </c>
      <c r="B39" s="172" t="s">
        <v>230</v>
      </c>
      <c r="C39" s="182">
        <v>6</v>
      </c>
      <c r="D39" s="183">
        <f t="shared" si="0"/>
        <v>2000</v>
      </c>
      <c r="E39" s="182"/>
      <c r="F39" s="182"/>
      <c r="G39" s="182">
        <v>2000</v>
      </c>
      <c r="H39" s="182"/>
      <c r="I39" s="182"/>
      <c r="J39" s="183">
        <f t="shared" si="1"/>
        <v>144000</v>
      </c>
    </row>
    <row r="40" spans="1:10" ht="15.75">
      <c r="A40" s="182">
        <v>8</v>
      </c>
      <c r="B40" s="173" t="s">
        <v>232</v>
      </c>
      <c r="C40" s="174">
        <v>88.25</v>
      </c>
      <c r="D40" s="183">
        <f>E40+F40+G40</f>
        <v>0</v>
      </c>
      <c r="E40" s="175"/>
      <c r="F40" s="184"/>
      <c r="G40" s="183"/>
      <c r="H40" s="184"/>
      <c r="I40" s="184"/>
      <c r="J40" s="183">
        <f>C40*D40*12</f>
        <v>0</v>
      </c>
    </row>
    <row r="41" spans="1:10" ht="15.75">
      <c r="A41" s="185"/>
      <c r="B41" s="166"/>
      <c r="C41" s="185"/>
      <c r="D41" s="184"/>
      <c r="E41" s="184"/>
      <c r="F41" s="184"/>
      <c r="G41" s="184">
        <f>E41*21.7%</f>
        <v>0</v>
      </c>
      <c r="H41" s="184"/>
      <c r="I41" s="184"/>
      <c r="J41" s="183">
        <f>C41*D41*12</f>
        <v>0</v>
      </c>
    </row>
    <row r="42" spans="1:10" ht="16.5" thickBot="1">
      <c r="A42" s="312" t="s">
        <v>188</v>
      </c>
      <c r="B42" s="313"/>
      <c r="C42" s="180" t="s">
        <v>139</v>
      </c>
      <c r="D42" s="178"/>
      <c r="E42" s="178" t="s">
        <v>139</v>
      </c>
      <c r="F42" s="178" t="s">
        <v>139</v>
      </c>
      <c r="G42" s="178" t="s">
        <v>139</v>
      </c>
      <c r="H42" s="178" t="s">
        <v>139</v>
      </c>
      <c r="I42" s="178" t="s">
        <v>139</v>
      </c>
      <c r="J42" s="178">
        <f>SUM(J33:J41)</f>
        <v>574500</v>
      </c>
    </row>
    <row r="611" ht="12.75"/>
  </sheetData>
  <sheetProtection/>
  <mergeCells count="30">
    <mergeCell ref="A15:B15"/>
    <mergeCell ref="H29:H31"/>
    <mergeCell ref="I29:I31"/>
    <mergeCell ref="J29:J31"/>
    <mergeCell ref="D30:D31"/>
    <mergeCell ref="E30:G30"/>
    <mergeCell ref="A42:B42"/>
    <mergeCell ref="D17:D18"/>
    <mergeCell ref="E17:G17"/>
    <mergeCell ref="A24:B24"/>
    <mergeCell ref="A29:A31"/>
    <mergeCell ref="B29:B31"/>
    <mergeCell ref="C29:C31"/>
    <mergeCell ref="D29:G29"/>
    <mergeCell ref="A10:J10"/>
    <mergeCell ref="A12:J12"/>
    <mergeCell ref="A14:J14"/>
    <mergeCell ref="A16:A18"/>
    <mergeCell ref="B16:B18"/>
    <mergeCell ref="C16:C18"/>
    <mergeCell ref="D16:G16"/>
    <mergeCell ref="H16:H18"/>
    <mergeCell ref="I16:I18"/>
    <mergeCell ref="J16:J18"/>
    <mergeCell ref="H1:J1"/>
    <mergeCell ref="G2:J2"/>
    <mergeCell ref="A4:J4"/>
    <mergeCell ref="A5:J5"/>
    <mergeCell ref="A6:J6"/>
    <mergeCell ref="A8:J8"/>
  </mergeCells>
  <hyperlinks>
    <hyperlink ref="A8" location="P611" display="P61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5">
      <selection activeCell="E19" sqref="E19"/>
    </sheetView>
  </sheetViews>
  <sheetFormatPr defaultColWidth="9.00390625" defaultRowHeight="12.75"/>
  <cols>
    <col min="1" max="1" width="7.125" style="0" customWidth="1"/>
    <col min="2" max="2" width="28.25390625" style="0" customWidth="1"/>
    <col min="3" max="3" width="12.875" style="0" customWidth="1"/>
    <col min="4" max="4" width="15.125" style="0" customWidth="1"/>
    <col min="5" max="5" width="13.625" style="0" customWidth="1"/>
    <col min="6" max="6" width="12.25390625" style="0" customWidth="1"/>
  </cols>
  <sheetData>
    <row r="1" spans="1:4" ht="15">
      <c r="A1" s="295" t="s">
        <v>191</v>
      </c>
      <c r="B1" s="295"/>
      <c r="C1" s="295"/>
      <c r="D1" s="295"/>
    </row>
    <row r="2" spans="1:4" ht="15">
      <c r="A2" s="295" t="s">
        <v>192</v>
      </c>
      <c r="B2" s="295"/>
      <c r="C2" s="295"/>
      <c r="D2" s="295"/>
    </row>
    <row r="3" spans="1:4" ht="15">
      <c r="A3" s="295" t="s">
        <v>193</v>
      </c>
      <c r="B3" s="295"/>
      <c r="C3" s="295"/>
      <c r="D3" s="295"/>
    </row>
    <row r="4" spans="1:4" ht="15">
      <c r="A4" s="295" t="s">
        <v>194</v>
      </c>
      <c r="B4" s="295"/>
      <c r="C4" s="295"/>
      <c r="D4" s="295"/>
    </row>
    <row r="5" spans="1:4" ht="15">
      <c r="A5" s="295" t="s">
        <v>195</v>
      </c>
      <c r="B5" s="295"/>
      <c r="C5" s="295"/>
      <c r="D5" s="295"/>
    </row>
    <row r="6" spans="1:2" ht="15.75" thickBot="1">
      <c r="A6" s="315" t="s">
        <v>247</v>
      </c>
      <c r="B6" s="315"/>
    </row>
    <row r="7" spans="1:6" ht="120.75" thickBot="1">
      <c r="A7" s="119" t="s">
        <v>177</v>
      </c>
      <c r="B7" s="120" t="s">
        <v>196</v>
      </c>
      <c r="C7" s="120" t="s">
        <v>245</v>
      </c>
      <c r="D7" s="120" t="s">
        <v>198</v>
      </c>
      <c r="E7" s="120" t="s">
        <v>246</v>
      </c>
      <c r="F7" s="120" t="s">
        <v>198</v>
      </c>
    </row>
    <row r="8" spans="1:6" ht="15.75" thickBot="1">
      <c r="A8" s="128">
        <v>1</v>
      </c>
      <c r="B8" s="118">
        <v>2</v>
      </c>
      <c r="C8" s="118">
        <v>3</v>
      </c>
      <c r="D8" s="118">
        <v>4</v>
      </c>
      <c r="E8" s="118">
        <v>3</v>
      </c>
      <c r="F8" s="118">
        <v>4</v>
      </c>
    </row>
    <row r="9" spans="1:6" ht="45.75" thickBot="1">
      <c r="A9" s="160">
        <v>1</v>
      </c>
      <c r="B9" s="129" t="s">
        <v>199</v>
      </c>
      <c r="C9" s="161" t="s">
        <v>139</v>
      </c>
      <c r="D9" s="161">
        <f>D10+D11+D12</f>
        <v>175374.9866</v>
      </c>
      <c r="E9" s="161" t="s">
        <v>139</v>
      </c>
      <c r="F9" s="161">
        <f>F10+F11+F12</f>
        <v>126390</v>
      </c>
    </row>
    <row r="10" spans="1:6" ht="15.75" thickBot="1">
      <c r="A10" s="160" t="s">
        <v>208</v>
      </c>
      <c r="B10" s="129" t="s">
        <v>200</v>
      </c>
      <c r="C10" s="161">
        <v>797159.03</v>
      </c>
      <c r="D10" s="161">
        <f>C10*22%</f>
        <v>175374.9866</v>
      </c>
      <c r="E10" s="161">
        <v>574500</v>
      </c>
      <c r="F10" s="161">
        <f>E10*22%</f>
        <v>126390</v>
      </c>
    </row>
    <row r="11" spans="1:6" ht="15.75" thickBot="1">
      <c r="A11" s="160" t="s">
        <v>209</v>
      </c>
      <c r="B11" s="129" t="s">
        <v>201</v>
      </c>
      <c r="C11" s="161"/>
      <c r="D11" s="161"/>
      <c r="E11" s="161"/>
      <c r="F11" s="161"/>
    </row>
    <row r="12" spans="1:6" ht="75.75" thickBot="1">
      <c r="A12" s="160" t="s">
        <v>210</v>
      </c>
      <c r="B12" s="129" t="s">
        <v>202</v>
      </c>
      <c r="C12" s="161"/>
      <c r="D12" s="161"/>
      <c r="E12" s="161"/>
      <c r="F12" s="161"/>
    </row>
    <row r="13" spans="1:6" ht="45.75" thickBot="1">
      <c r="A13" s="160">
        <v>2</v>
      </c>
      <c r="B13" s="129" t="s">
        <v>203</v>
      </c>
      <c r="C13" s="161" t="s">
        <v>139</v>
      </c>
      <c r="D13" s="161">
        <f>D14+D16+D17+D18+D19</f>
        <v>24711.929930000002</v>
      </c>
      <c r="E13" s="161" t="s">
        <v>139</v>
      </c>
      <c r="F13" s="161">
        <f>F14+F16+F17+F18+F19</f>
        <v>17809.5</v>
      </c>
    </row>
    <row r="14" spans="1:6" ht="15">
      <c r="A14" s="306" t="s">
        <v>211</v>
      </c>
      <c r="B14" s="157" t="s">
        <v>7</v>
      </c>
      <c r="C14" s="308">
        <v>797159.03</v>
      </c>
      <c r="D14" s="308">
        <f>C14*2.9%</f>
        <v>23117.61187</v>
      </c>
      <c r="E14" s="308">
        <v>574500</v>
      </c>
      <c r="F14" s="308">
        <f>E14*2.9%</f>
        <v>16660.5</v>
      </c>
    </row>
    <row r="15" spans="1:6" ht="90.75" thickBot="1">
      <c r="A15" s="307"/>
      <c r="B15" s="129" t="s">
        <v>204</v>
      </c>
      <c r="C15" s="309"/>
      <c r="D15" s="309"/>
      <c r="E15" s="309"/>
      <c r="F15" s="309"/>
    </row>
    <row r="16" spans="1:6" ht="60.75" thickBot="1">
      <c r="A16" s="160" t="s">
        <v>212</v>
      </c>
      <c r="B16" s="129" t="s">
        <v>205</v>
      </c>
      <c r="C16" s="161"/>
      <c r="D16" s="161"/>
      <c r="E16" s="161"/>
      <c r="F16" s="161"/>
    </row>
    <row r="17" spans="1:6" ht="75.75" thickBot="1">
      <c r="A17" s="160" t="s">
        <v>213</v>
      </c>
      <c r="B17" s="129" t="s">
        <v>206</v>
      </c>
      <c r="C17" s="161">
        <v>797159.03</v>
      </c>
      <c r="D17" s="161">
        <f>C17*0.2%</f>
        <v>1594.31806</v>
      </c>
      <c r="E17" s="161">
        <v>574500</v>
      </c>
      <c r="F17" s="161">
        <f>E17*0.2%</f>
        <v>1149</v>
      </c>
    </row>
    <row r="18" spans="1:6" ht="75.75" thickBot="1">
      <c r="A18" s="160" t="s">
        <v>214</v>
      </c>
      <c r="B18" s="129" t="s">
        <v>217</v>
      </c>
      <c r="C18" s="161"/>
      <c r="D18" s="161"/>
      <c r="E18" s="161"/>
      <c r="F18" s="161"/>
    </row>
    <row r="19" spans="1:6" ht="75.75" thickBot="1">
      <c r="A19" s="160" t="s">
        <v>215</v>
      </c>
      <c r="B19" s="129" t="s">
        <v>216</v>
      </c>
      <c r="C19" s="161"/>
      <c r="D19" s="161"/>
      <c r="E19" s="161"/>
      <c r="F19" s="161"/>
    </row>
    <row r="20" spans="1:6" ht="75.75" thickBot="1">
      <c r="A20" s="160">
        <v>3</v>
      </c>
      <c r="B20" s="129" t="s">
        <v>207</v>
      </c>
      <c r="C20" s="161">
        <v>797159.03</v>
      </c>
      <c r="D20" s="161">
        <f>C20*5.1%+0.46</f>
        <v>40655.57053</v>
      </c>
      <c r="E20" s="161">
        <v>574500</v>
      </c>
      <c r="F20" s="161">
        <f>E20*5.1%+0.46</f>
        <v>29299.959999999995</v>
      </c>
    </row>
    <row r="21" spans="1:6" ht="15.75" thickBot="1">
      <c r="A21" s="117"/>
      <c r="B21" s="158" t="s">
        <v>188</v>
      </c>
      <c r="C21" s="161" t="s">
        <v>139</v>
      </c>
      <c r="D21" s="161">
        <f>D9+D13+D20</f>
        <v>240742.48706</v>
      </c>
      <c r="E21" s="161" t="s">
        <v>139</v>
      </c>
      <c r="F21" s="161">
        <f>F9+F13+F20</f>
        <v>173499.46</v>
      </c>
    </row>
  </sheetData>
  <sheetProtection/>
  <mergeCells count="11">
    <mergeCell ref="E14:E15"/>
    <mergeCell ref="F14:F15"/>
    <mergeCell ref="A6:B6"/>
    <mergeCell ref="A1:D1"/>
    <mergeCell ref="A2:D2"/>
    <mergeCell ref="A3:D3"/>
    <mergeCell ref="A4:D4"/>
    <mergeCell ref="A5:D5"/>
    <mergeCell ref="A14:A15"/>
    <mergeCell ref="C14:C15"/>
    <mergeCell ref="D14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1"/>
  <sheetViews>
    <sheetView zoomScalePageLayoutView="0" workbookViewId="0" topLeftCell="A34">
      <selection activeCell="A1" sqref="A1:J42"/>
    </sheetView>
  </sheetViews>
  <sheetFormatPr defaultColWidth="9.00390625" defaultRowHeight="12.75"/>
  <cols>
    <col min="2" max="2" width="20.75390625" style="0" customWidth="1"/>
    <col min="3" max="3" width="14.25390625" style="0" customWidth="1"/>
    <col min="4" max="4" width="13.125" style="0" customWidth="1"/>
    <col min="5" max="5" width="11.25390625" style="0" customWidth="1"/>
    <col min="6" max="6" width="11.125" style="0" customWidth="1"/>
    <col min="7" max="7" width="13.125" style="0" customWidth="1"/>
    <col min="8" max="8" width="11.125" style="0" customWidth="1"/>
    <col min="10" max="10" width="14.875" style="0" customWidth="1"/>
  </cols>
  <sheetData>
    <row r="1" spans="8:10" ht="12.75">
      <c r="H1" s="301" t="s">
        <v>189</v>
      </c>
      <c r="I1" s="301"/>
      <c r="J1" s="301"/>
    </row>
    <row r="2" spans="7:10" ht="82.5" customHeight="1">
      <c r="G2" s="302" t="s">
        <v>190</v>
      </c>
      <c r="H2" s="302"/>
      <c r="I2" s="302"/>
      <c r="J2" s="302"/>
    </row>
    <row r="4" spans="1:10" ht="15">
      <c r="A4" s="295" t="s">
        <v>172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5">
      <c r="A5" s="295" t="s">
        <v>173</v>
      </c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5">
      <c r="A6" s="295" t="s">
        <v>174</v>
      </c>
      <c r="B6" s="295"/>
      <c r="C6" s="295"/>
      <c r="D6" s="295"/>
      <c r="E6" s="295"/>
      <c r="F6" s="295"/>
      <c r="G6" s="295"/>
      <c r="H6" s="295"/>
      <c r="I6" s="295"/>
      <c r="J6" s="295"/>
    </row>
    <row r="7" spans="2:4" ht="15">
      <c r="B7" s="131"/>
      <c r="D7" s="121" t="s">
        <v>243</v>
      </c>
    </row>
    <row r="8" spans="1:10" ht="12.75">
      <c r="A8" s="296" t="s">
        <v>175</v>
      </c>
      <c r="B8" s="296"/>
      <c r="C8" s="296"/>
      <c r="D8" s="296"/>
      <c r="E8" s="296"/>
      <c r="F8" s="296"/>
      <c r="G8" s="296"/>
      <c r="H8" s="296"/>
      <c r="I8" s="296"/>
      <c r="J8" s="296"/>
    </row>
    <row r="9" ht="15">
      <c r="B9" s="131"/>
    </row>
    <row r="10" spans="1:10" ht="15">
      <c r="A10" s="295" t="s">
        <v>241</v>
      </c>
      <c r="B10" s="295"/>
      <c r="C10" s="295"/>
      <c r="D10" s="295"/>
      <c r="E10" s="295"/>
      <c r="F10" s="295"/>
      <c r="G10" s="295"/>
      <c r="H10" s="295"/>
      <c r="I10" s="295"/>
      <c r="J10" s="295"/>
    </row>
    <row r="11" ht="15">
      <c r="B11" s="131"/>
    </row>
    <row r="12" spans="1:10" ht="15">
      <c r="A12" s="295" t="s">
        <v>244</v>
      </c>
      <c r="B12" s="295"/>
      <c r="C12" s="295"/>
      <c r="D12" s="295"/>
      <c r="E12" s="295"/>
      <c r="F12" s="295"/>
      <c r="G12" s="295"/>
      <c r="H12" s="295"/>
      <c r="I12" s="295"/>
      <c r="J12" s="295"/>
    </row>
    <row r="13" spans="1:2" ht="15">
      <c r="A13" t="s">
        <v>250</v>
      </c>
      <c r="B13" s="131"/>
    </row>
    <row r="14" spans="1:10" ht="15.75" thickBot="1">
      <c r="A14" s="300" t="s">
        <v>176</v>
      </c>
      <c r="B14" s="300"/>
      <c r="C14" s="300"/>
      <c r="D14" s="300"/>
      <c r="E14" s="300"/>
      <c r="F14" s="300"/>
      <c r="G14" s="300"/>
      <c r="H14" s="300"/>
      <c r="I14" s="300"/>
      <c r="J14" s="300"/>
    </row>
    <row r="15" spans="1:10" ht="15.75" thickBot="1">
      <c r="A15" s="314" t="s">
        <v>248</v>
      </c>
      <c r="B15" s="314"/>
      <c r="C15" s="186"/>
      <c r="D15" s="162"/>
      <c r="E15" s="162"/>
      <c r="F15" s="162"/>
      <c r="G15" s="162"/>
      <c r="H15" s="186"/>
      <c r="I15" s="186"/>
      <c r="J15" s="186"/>
    </row>
    <row r="16" spans="1:10" ht="15.75" thickBot="1">
      <c r="A16" s="297" t="s">
        <v>177</v>
      </c>
      <c r="B16" s="297" t="s">
        <v>178</v>
      </c>
      <c r="C16" s="297" t="s">
        <v>179</v>
      </c>
      <c r="D16" s="303" t="s">
        <v>180</v>
      </c>
      <c r="E16" s="304"/>
      <c r="F16" s="304"/>
      <c r="G16" s="305"/>
      <c r="H16" s="297" t="s">
        <v>181</v>
      </c>
      <c r="I16" s="297" t="s">
        <v>182</v>
      </c>
      <c r="J16" s="297" t="s">
        <v>183</v>
      </c>
    </row>
    <row r="17" spans="1:10" ht="15.75" thickBot="1">
      <c r="A17" s="298"/>
      <c r="B17" s="298"/>
      <c r="C17" s="298"/>
      <c r="D17" s="297" t="s">
        <v>184</v>
      </c>
      <c r="E17" s="303" t="s">
        <v>7</v>
      </c>
      <c r="F17" s="304"/>
      <c r="G17" s="305"/>
      <c r="H17" s="298"/>
      <c r="I17" s="298"/>
      <c r="J17" s="298"/>
    </row>
    <row r="18" spans="1:10" ht="75.75" thickBot="1">
      <c r="A18" s="299"/>
      <c r="B18" s="299"/>
      <c r="C18" s="299"/>
      <c r="D18" s="299"/>
      <c r="E18" s="118" t="s">
        <v>185</v>
      </c>
      <c r="F18" s="118" t="s">
        <v>186</v>
      </c>
      <c r="G18" s="118" t="s">
        <v>187</v>
      </c>
      <c r="H18" s="299"/>
      <c r="I18" s="299"/>
      <c r="J18" s="299"/>
    </row>
    <row r="19" spans="1:10" ht="15.75" thickBot="1">
      <c r="A19" s="128">
        <v>1</v>
      </c>
      <c r="B19" s="118">
        <v>2</v>
      </c>
      <c r="C19" s="118">
        <v>3</v>
      </c>
      <c r="D19" s="118">
        <v>4</v>
      </c>
      <c r="E19" s="118">
        <v>5</v>
      </c>
      <c r="F19" s="118">
        <v>6</v>
      </c>
      <c r="G19" s="118">
        <v>7</v>
      </c>
      <c r="H19" s="118">
        <v>8</v>
      </c>
      <c r="I19" s="118">
        <v>9</v>
      </c>
      <c r="J19" s="118">
        <v>10</v>
      </c>
    </row>
    <row r="20" spans="1:10" ht="32.25" thickBot="1">
      <c r="A20" s="176">
        <v>1</v>
      </c>
      <c r="B20" s="172" t="s">
        <v>230</v>
      </c>
      <c r="C20" s="174">
        <v>6</v>
      </c>
      <c r="D20" s="177">
        <f>E20+F20+G20</f>
        <v>1148.13</v>
      </c>
      <c r="E20" s="175"/>
      <c r="F20" s="178"/>
      <c r="G20" s="177">
        <v>1148.13</v>
      </c>
      <c r="H20" s="178"/>
      <c r="I20" s="178"/>
      <c r="J20" s="177">
        <f>C20*D20*12</f>
        <v>82665.36000000002</v>
      </c>
    </row>
    <row r="21" spans="1:10" ht="63.75" thickBot="1">
      <c r="A21" s="176">
        <v>2</v>
      </c>
      <c r="B21" s="166" t="s">
        <v>231</v>
      </c>
      <c r="C21" s="174">
        <v>2</v>
      </c>
      <c r="D21" s="177">
        <f>E21+F21+G21</f>
        <v>1148.13</v>
      </c>
      <c r="E21" s="175"/>
      <c r="F21" s="178"/>
      <c r="G21" s="177">
        <v>1148.13</v>
      </c>
      <c r="H21" s="178"/>
      <c r="I21" s="178"/>
      <c r="J21" s="177">
        <f>C21*D21*12</f>
        <v>27555.120000000003</v>
      </c>
    </row>
    <row r="22" spans="1:10" ht="32.25" thickBot="1">
      <c r="A22" s="176">
        <v>3</v>
      </c>
      <c r="B22" s="173" t="s">
        <v>232</v>
      </c>
      <c r="C22" s="174">
        <v>88.25</v>
      </c>
      <c r="D22" s="177">
        <f>E22+F22+G22</f>
        <v>631.04</v>
      </c>
      <c r="E22" s="175"/>
      <c r="F22" s="178"/>
      <c r="G22" s="177">
        <v>631.04</v>
      </c>
      <c r="H22" s="178"/>
      <c r="I22" s="178"/>
      <c r="J22" s="177">
        <f>C22*D22*12+0.16</f>
        <v>668271.52</v>
      </c>
    </row>
    <row r="23" spans="1:10" ht="16.5" thickBot="1">
      <c r="A23" s="179"/>
      <c r="B23" s="168"/>
      <c r="C23" s="180"/>
      <c r="D23" s="178"/>
      <c r="E23" s="178"/>
      <c r="F23" s="178"/>
      <c r="G23" s="178">
        <f>E23*21.7%</f>
        <v>0</v>
      </c>
      <c r="H23" s="178"/>
      <c r="I23" s="178"/>
      <c r="J23" s="177">
        <f>C23*D23*12</f>
        <v>0</v>
      </c>
    </row>
    <row r="24" spans="1:10" ht="16.5" thickBot="1">
      <c r="A24" s="293" t="s">
        <v>188</v>
      </c>
      <c r="B24" s="294"/>
      <c r="C24" s="180" t="s">
        <v>139</v>
      </c>
      <c r="D24" s="178"/>
      <c r="E24" s="178" t="s">
        <v>139</v>
      </c>
      <c r="F24" s="178" t="s">
        <v>139</v>
      </c>
      <c r="G24" s="178" t="s">
        <v>139</v>
      </c>
      <c r="H24" s="178" t="s">
        <v>139</v>
      </c>
      <c r="I24" s="178" t="s">
        <v>139</v>
      </c>
      <c r="J24" s="178">
        <f>SUM(J20:J23)</f>
        <v>778492</v>
      </c>
    </row>
    <row r="28" ht="13.5" thickBot="1">
      <c r="A28" t="s">
        <v>249</v>
      </c>
    </row>
    <row r="29" spans="1:10" ht="15.75" thickBot="1">
      <c r="A29" s="297" t="s">
        <v>177</v>
      </c>
      <c r="B29" s="297" t="s">
        <v>178</v>
      </c>
      <c r="C29" s="297" t="s">
        <v>179</v>
      </c>
      <c r="D29" s="303" t="s">
        <v>180</v>
      </c>
      <c r="E29" s="304"/>
      <c r="F29" s="304"/>
      <c r="G29" s="305"/>
      <c r="H29" s="297" t="s">
        <v>181</v>
      </c>
      <c r="I29" s="297" t="s">
        <v>182</v>
      </c>
      <c r="J29" s="297" t="s">
        <v>183</v>
      </c>
    </row>
    <row r="30" spans="1:10" ht="15.75" thickBot="1">
      <c r="A30" s="298"/>
      <c r="B30" s="298"/>
      <c r="C30" s="298"/>
      <c r="D30" s="297" t="s">
        <v>184</v>
      </c>
      <c r="E30" s="303" t="s">
        <v>7</v>
      </c>
      <c r="F30" s="304"/>
      <c r="G30" s="305"/>
      <c r="H30" s="298"/>
      <c r="I30" s="298"/>
      <c r="J30" s="298"/>
    </row>
    <row r="31" spans="1:10" ht="75.75" thickBot="1">
      <c r="A31" s="299"/>
      <c r="B31" s="299"/>
      <c r="C31" s="299"/>
      <c r="D31" s="299"/>
      <c r="E31" s="118" t="s">
        <v>185</v>
      </c>
      <c r="F31" s="118" t="s">
        <v>186</v>
      </c>
      <c r="G31" s="118" t="s">
        <v>187</v>
      </c>
      <c r="H31" s="299"/>
      <c r="I31" s="299"/>
      <c r="J31" s="299"/>
    </row>
    <row r="32" spans="1:10" ht="15">
      <c r="A32" s="163">
        <v>1</v>
      </c>
      <c r="B32" s="181">
        <v>2</v>
      </c>
      <c r="C32" s="181">
        <v>3</v>
      </c>
      <c r="D32" s="181">
        <v>4</v>
      </c>
      <c r="E32" s="181">
        <v>5</v>
      </c>
      <c r="F32" s="181">
        <v>6</v>
      </c>
      <c r="G32" s="181">
        <v>7</v>
      </c>
      <c r="H32" s="181">
        <v>8</v>
      </c>
      <c r="I32" s="181">
        <v>9</v>
      </c>
      <c r="J32" s="181">
        <v>10</v>
      </c>
    </row>
    <row r="33" spans="1:10" ht="15.75">
      <c r="A33" s="182">
        <v>1</v>
      </c>
      <c r="B33" s="166" t="s">
        <v>220</v>
      </c>
      <c r="C33" s="182">
        <v>2</v>
      </c>
      <c r="D33" s="183">
        <f aca="true" t="shared" si="0" ref="D33:D40">E33+F33+G33</f>
        <v>1338.71</v>
      </c>
      <c r="E33" s="182"/>
      <c r="F33" s="182"/>
      <c r="G33" s="182">
        <v>1338.71</v>
      </c>
      <c r="H33" s="182"/>
      <c r="I33" s="182"/>
      <c r="J33" s="183">
        <f aca="true" t="shared" si="1" ref="J33:J41">C33*D33*12</f>
        <v>32129.04</v>
      </c>
    </row>
    <row r="34" spans="1:10" ht="15.75">
      <c r="A34" s="182">
        <v>2</v>
      </c>
      <c r="B34" s="170" t="s">
        <v>221</v>
      </c>
      <c r="C34" s="182">
        <v>1</v>
      </c>
      <c r="D34" s="183">
        <f t="shared" si="0"/>
        <v>1338.71</v>
      </c>
      <c r="E34" s="182"/>
      <c r="F34" s="182"/>
      <c r="G34" s="182">
        <v>1338.71</v>
      </c>
      <c r="H34" s="182"/>
      <c r="I34" s="182"/>
      <c r="J34" s="183">
        <f t="shared" si="1"/>
        <v>16064.52</v>
      </c>
    </row>
    <row r="35" spans="1:10" ht="15.75">
      <c r="A35" s="182">
        <v>3</v>
      </c>
      <c r="B35" s="170" t="s">
        <v>222</v>
      </c>
      <c r="C35" s="182">
        <v>1</v>
      </c>
      <c r="D35" s="183">
        <f t="shared" si="0"/>
        <v>1338.71</v>
      </c>
      <c r="E35" s="182"/>
      <c r="F35" s="182"/>
      <c r="G35" s="182">
        <v>1338.71</v>
      </c>
      <c r="H35" s="182"/>
      <c r="I35" s="182"/>
      <c r="J35" s="183">
        <f t="shared" si="1"/>
        <v>16064.52</v>
      </c>
    </row>
    <row r="36" spans="1:10" ht="15.75">
      <c r="A36" s="182">
        <v>4</v>
      </c>
      <c r="B36" s="166" t="s">
        <v>223</v>
      </c>
      <c r="C36" s="182">
        <v>1</v>
      </c>
      <c r="D36" s="183">
        <f t="shared" si="0"/>
        <v>1338.71</v>
      </c>
      <c r="E36" s="182"/>
      <c r="F36" s="182"/>
      <c r="G36" s="182">
        <v>1338.71</v>
      </c>
      <c r="H36" s="182"/>
      <c r="I36" s="182"/>
      <c r="J36" s="183">
        <f t="shared" si="1"/>
        <v>16064.52</v>
      </c>
    </row>
    <row r="37" spans="1:10" ht="31.5">
      <c r="A37" s="182">
        <v>5</v>
      </c>
      <c r="B37" s="166" t="s">
        <v>226</v>
      </c>
      <c r="C37" s="182">
        <v>1</v>
      </c>
      <c r="D37" s="183">
        <f t="shared" si="0"/>
        <v>1338.71</v>
      </c>
      <c r="E37" s="182"/>
      <c r="F37" s="182"/>
      <c r="G37" s="182">
        <v>1338.71</v>
      </c>
      <c r="H37" s="182"/>
      <c r="I37" s="182"/>
      <c r="J37" s="183">
        <f t="shared" si="1"/>
        <v>16064.52</v>
      </c>
    </row>
    <row r="38" spans="1:10" ht="31.5">
      <c r="A38" s="182">
        <v>6</v>
      </c>
      <c r="B38" s="166" t="s">
        <v>229</v>
      </c>
      <c r="C38" s="182">
        <v>11.5</v>
      </c>
      <c r="D38" s="183">
        <f t="shared" si="0"/>
        <v>1338.71</v>
      </c>
      <c r="E38" s="182"/>
      <c r="F38" s="182"/>
      <c r="G38" s="182">
        <v>1338.71</v>
      </c>
      <c r="H38" s="182"/>
      <c r="I38" s="182"/>
      <c r="J38" s="183">
        <f>C38*D38*12</f>
        <v>184741.98</v>
      </c>
    </row>
    <row r="39" spans="1:10" ht="31.5">
      <c r="A39" s="182">
        <v>7</v>
      </c>
      <c r="B39" s="172" t="s">
        <v>230</v>
      </c>
      <c r="C39" s="182">
        <v>6</v>
      </c>
      <c r="D39" s="183">
        <f t="shared" si="0"/>
        <v>1338.72</v>
      </c>
      <c r="E39" s="182"/>
      <c r="F39" s="182"/>
      <c r="G39" s="182">
        <v>1338.72</v>
      </c>
      <c r="H39" s="182"/>
      <c r="I39" s="182"/>
      <c r="J39" s="183">
        <f t="shared" si="1"/>
        <v>96387.84</v>
      </c>
    </row>
    <row r="40" spans="1:10" ht="31.5">
      <c r="A40" s="182">
        <v>8</v>
      </c>
      <c r="B40" s="173" t="s">
        <v>232</v>
      </c>
      <c r="C40" s="174">
        <v>88.25</v>
      </c>
      <c r="D40" s="183">
        <f t="shared" si="0"/>
        <v>355.34</v>
      </c>
      <c r="E40" s="175"/>
      <c r="F40" s="184"/>
      <c r="G40" s="183">
        <v>355.34</v>
      </c>
      <c r="H40" s="184"/>
      <c r="I40" s="184"/>
      <c r="J40" s="183">
        <f>C40*D40*12</f>
        <v>376305.05999999994</v>
      </c>
    </row>
    <row r="41" spans="1:10" ht="15.75">
      <c r="A41" s="185"/>
      <c r="B41" s="166"/>
      <c r="C41" s="185"/>
      <c r="D41" s="184"/>
      <c r="E41" s="184"/>
      <c r="F41" s="184"/>
      <c r="G41" s="184">
        <f>E41*21.7%</f>
        <v>0</v>
      </c>
      <c r="H41" s="184"/>
      <c r="I41" s="184"/>
      <c r="J41" s="183">
        <f t="shared" si="1"/>
        <v>0</v>
      </c>
    </row>
    <row r="42" spans="1:10" ht="16.5" thickBot="1">
      <c r="A42" s="312" t="s">
        <v>188</v>
      </c>
      <c r="B42" s="313"/>
      <c r="C42" s="180" t="s">
        <v>139</v>
      </c>
      <c r="D42" s="178"/>
      <c r="E42" s="178" t="s">
        <v>139</v>
      </c>
      <c r="F42" s="178" t="s">
        <v>139</v>
      </c>
      <c r="G42" s="178" t="s">
        <v>139</v>
      </c>
      <c r="H42" s="178" t="s">
        <v>139</v>
      </c>
      <c r="I42" s="178" t="s">
        <v>139</v>
      </c>
      <c r="J42" s="178">
        <f>SUM(J33:J41)</f>
        <v>753822</v>
      </c>
    </row>
    <row r="611" ht="12.75"/>
  </sheetData>
  <sheetProtection/>
  <mergeCells count="30">
    <mergeCell ref="J29:J31"/>
    <mergeCell ref="D30:D31"/>
    <mergeCell ref="E30:G30"/>
    <mergeCell ref="A42:B42"/>
    <mergeCell ref="J16:J18"/>
    <mergeCell ref="D17:D18"/>
    <mergeCell ref="E17:G17"/>
    <mergeCell ref="A24:B24"/>
    <mergeCell ref="A29:A31"/>
    <mergeCell ref="B29:B31"/>
    <mergeCell ref="C29:C31"/>
    <mergeCell ref="D29:G29"/>
    <mergeCell ref="H29:H31"/>
    <mergeCell ref="I29:I31"/>
    <mergeCell ref="A10:J10"/>
    <mergeCell ref="A12:J12"/>
    <mergeCell ref="A14:J14"/>
    <mergeCell ref="A15:B15"/>
    <mergeCell ref="A16:A18"/>
    <mergeCell ref="B16:B18"/>
    <mergeCell ref="C16:C18"/>
    <mergeCell ref="D16:G16"/>
    <mergeCell ref="H16:H18"/>
    <mergeCell ref="I16:I18"/>
    <mergeCell ref="H1:J1"/>
    <mergeCell ref="G2:J2"/>
    <mergeCell ref="A4:J4"/>
    <mergeCell ref="A5:J5"/>
    <mergeCell ref="A6:J6"/>
    <mergeCell ref="A8:J8"/>
  </mergeCells>
  <hyperlinks>
    <hyperlink ref="A8" location="P611" display="P61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1" sqref="A1:F21"/>
    </sheetView>
  </sheetViews>
  <sheetFormatPr defaultColWidth="9.00390625" defaultRowHeight="12.75"/>
  <cols>
    <col min="2" max="2" width="22.875" style="0" customWidth="1"/>
    <col min="3" max="3" width="15.625" style="0" customWidth="1"/>
    <col min="4" max="4" width="16.375" style="0" customWidth="1"/>
    <col min="5" max="5" width="13.875" style="0" customWidth="1"/>
    <col min="6" max="6" width="15.00390625" style="0" customWidth="1"/>
  </cols>
  <sheetData>
    <row r="1" spans="1:4" ht="15">
      <c r="A1" s="295" t="s">
        <v>191</v>
      </c>
      <c r="B1" s="295"/>
      <c r="C1" s="295"/>
      <c r="D1" s="295"/>
    </row>
    <row r="2" spans="1:4" ht="15">
      <c r="A2" s="295" t="s">
        <v>192</v>
      </c>
      <c r="B2" s="295"/>
      <c r="C2" s="295"/>
      <c r="D2" s="295"/>
    </row>
    <row r="3" spans="1:4" ht="15">
      <c r="A3" s="295" t="s">
        <v>193</v>
      </c>
      <c r="B3" s="295"/>
      <c r="C3" s="295"/>
      <c r="D3" s="295"/>
    </row>
    <row r="4" spans="1:4" ht="15">
      <c r="A4" s="295" t="s">
        <v>194</v>
      </c>
      <c r="B4" s="295"/>
      <c r="C4" s="295"/>
      <c r="D4" s="295"/>
    </row>
    <row r="5" spans="1:4" ht="15">
      <c r="A5" s="295" t="s">
        <v>195</v>
      </c>
      <c r="B5" s="295"/>
      <c r="C5" s="295"/>
      <c r="D5" s="295"/>
    </row>
    <row r="6" spans="1:2" ht="15.75" thickBot="1">
      <c r="A6" s="315" t="s">
        <v>250</v>
      </c>
      <c r="B6" s="315"/>
    </row>
    <row r="7" spans="1:6" ht="105.75" thickBot="1">
      <c r="A7" s="119" t="s">
        <v>177</v>
      </c>
      <c r="B7" s="120" t="s">
        <v>196</v>
      </c>
      <c r="C7" s="120" t="s">
        <v>245</v>
      </c>
      <c r="D7" s="120" t="s">
        <v>198</v>
      </c>
      <c r="E7" s="120" t="s">
        <v>246</v>
      </c>
      <c r="F7" s="120" t="s">
        <v>198</v>
      </c>
    </row>
    <row r="8" spans="1:6" ht="15.75" thickBot="1">
      <c r="A8" s="128">
        <v>1</v>
      </c>
      <c r="B8" s="118">
        <v>2</v>
      </c>
      <c r="C8" s="118">
        <v>3</v>
      </c>
      <c r="D8" s="118">
        <v>4</v>
      </c>
      <c r="E8" s="118">
        <v>3</v>
      </c>
      <c r="F8" s="118">
        <v>4</v>
      </c>
    </row>
    <row r="9" spans="1:6" ht="45.75" thickBot="1">
      <c r="A9" s="160">
        <v>1</v>
      </c>
      <c r="B9" s="129" t="s">
        <v>199</v>
      </c>
      <c r="C9" s="161" t="s">
        <v>139</v>
      </c>
      <c r="D9" s="161">
        <f>D10+D11+D12</f>
        <v>171268.24</v>
      </c>
      <c r="E9" s="161" t="s">
        <v>139</v>
      </c>
      <c r="F9" s="161">
        <f>F10+F11+F12</f>
        <v>165840.84</v>
      </c>
    </row>
    <row r="10" spans="1:6" ht="30.75" thickBot="1">
      <c r="A10" s="160" t="s">
        <v>208</v>
      </c>
      <c r="B10" s="129" t="s">
        <v>200</v>
      </c>
      <c r="C10" s="161">
        <v>778492</v>
      </c>
      <c r="D10" s="161">
        <f>C10*22%</f>
        <v>171268.24</v>
      </c>
      <c r="E10" s="161">
        <v>753822</v>
      </c>
      <c r="F10" s="161">
        <f>E10*22%</f>
        <v>165840.84</v>
      </c>
    </row>
    <row r="11" spans="1:6" ht="15.75" thickBot="1">
      <c r="A11" s="160" t="s">
        <v>209</v>
      </c>
      <c r="B11" s="129" t="s">
        <v>201</v>
      </c>
      <c r="C11" s="161"/>
      <c r="D11" s="161"/>
      <c r="E11" s="161"/>
      <c r="F11" s="161"/>
    </row>
    <row r="12" spans="1:6" ht="90.75" thickBot="1">
      <c r="A12" s="160" t="s">
        <v>210</v>
      </c>
      <c r="B12" s="129" t="s">
        <v>202</v>
      </c>
      <c r="C12" s="161"/>
      <c r="D12" s="161"/>
      <c r="E12" s="161"/>
      <c r="F12" s="161"/>
    </row>
    <row r="13" spans="1:6" ht="75.75" thickBot="1">
      <c r="A13" s="160">
        <v>2</v>
      </c>
      <c r="B13" s="129" t="s">
        <v>203</v>
      </c>
      <c r="C13" s="161" t="s">
        <v>139</v>
      </c>
      <c r="D13" s="161">
        <f>D14+D16+D17+D18+D19</f>
        <v>24133.252</v>
      </c>
      <c r="E13" s="161" t="s">
        <v>139</v>
      </c>
      <c r="F13" s="161">
        <f>F14+F16+F17+F18+F19</f>
        <v>23368.482</v>
      </c>
    </row>
    <row r="14" spans="1:6" ht="15">
      <c r="A14" s="306" t="s">
        <v>211</v>
      </c>
      <c r="B14" s="157" t="s">
        <v>7</v>
      </c>
      <c r="C14" s="308">
        <v>778492</v>
      </c>
      <c r="D14" s="308">
        <f>C14*2.9%</f>
        <v>22576.268</v>
      </c>
      <c r="E14" s="308">
        <v>753822</v>
      </c>
      <c r="F14" s="308">
        <f>E14*2.9%</f>
        <v>21860.838</v>
      </c>
    </row>
    <row r="15" spans="1:6" ht="105.75" thickBot="1">
      <c r="A15" s="307"/>
      <c r="B15" s="129" t="s">
        <v>204</v>
      </c>
      <c r="C15" s="309"/>
      <c r="D15" s="309"/>
      <c r="E15" s="309"/>
      <c r="F15" s="309"/>
    </row>
    <row r="16" spans="1:6" ht="90.75" thickBot="1">
      <c r="A16" s="160" t="s">
        <v>212</v>
      </c>
      <c r="B16" s="129" t="s">
        <v>205</v>
      </c>
      <c r="C16" s="161"/>
      <c r="D16" s="161"/>
      <c r="E16" s="161"/>
      <c r="F16" s="161"/>
    </row>
    <row r="17" spans="1:6" ht="120.75" thickBot="1">
      <c r="A17" s="160" t="s">
        <v>213</v>
      </c>
      <c r="B17" s="129" t="s">
        <v>206</v>
      </c>
      <c r="C17" s="161">
        <v>778492</v>
      </c>
      <c r="D17" s="161">
        <f>C17*0.2%</f>
        <v>1556.984</v>
      </c>
      <c r="E17" s="161">
        <v>753822</v>
      </c>
      <c r="F17" s="161">
        <f>E17*0.2%</f>
        <v>1507.644</v>
      </c>
    </row>
    <row r="18" spans="1:6" ht="120.75" thickBot="1">
      <c r="A18" s="160" t="s">
        <v>214</v>
      </c>
      <c r="B18" s="129" t="s">
        <v>217</v>
      </c>
      <c r="C18" s="161"/>
      <c r="D18" s="161"/>
      <c r="E18" s="161"/>
      <c r="F18" s="161"/>
    </row>
    <row r="19" spans="1:6" ht="120.75" thickBot="1">
      <c r="A19" s="160" t="s">
        <v>215</v>
      </c>
      <c r="B19" s="129" t="s">
        <v>216</v>
      </c>
      <c r="C19" s="161"/>
      <c r="D19" s="161"/>
      <c r="E19" s="161"/>
      <c r="F19" s="161"/>
    </row>
    <row r="20" spans="1:6" ht="90.75" thickBot="1">
      <c r="A20" s="160">
        <v>3</v>
      </c>
      <c r="B20" s="129" t="s">
        <v>207</v>
      </c>
      <c r="C20" s="161">
        <v>778492</v>
      </c>
      <c r="D20" s="161">
        <f>C20*5.1%+0.42</f>
        <v>39703.511999999995</v>
      </c>
      <c r="E20" s="161">
        <v>753822</v>
      </c>
      <c r="F20" s="161">
        <f>E20*5.1%-0.24</f>
        <v>38444.682</v>
      </c>
    </row>
    <row r="21" spans="1:6" ht="15.75" thickBot="1">
      <c r="A21" s="117"/>
      <c r="B21" s="158" t="s">
        <v>188</v>
      </c>
      <c r="C21" s="161" t="s">
        <v>139</v>
      </c>
      <c r="D21" s="161">
        <f>D9+D13+D20</f>
        <v>235105.004</v>
      </c>
      <c r="E21" s="161" t="s">
        <v>139</v>
      </c>
      <c r="F21" s="161">
        <f>F9+F13+F20</f>
        <v>227654.004</v>
      </c>
    </row>
  </sheetData>
  <sheetProtection/>
  <mergeCells count="11">
    <mergeCell ref="A14:A15"/>
    <mergeCell ref="C14:C15"/>
    <mergeCell ref="D14:D15"/>
    <mergeCell ref="E14:E15"/>
    <mergeCell ref="F14:F15"/>
    <mergeCell ref="A1:D1"/>
    <mergeCell ref="A2:D2"/>
    <mergeCell ref="A3:D3"/>
    <mergeCell ref="A4:D4"/>
    <mergeCell ref="A5:D5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1"/>
  <sheetViews>
    <sheetView zoomScalePageLayoutView="0" workbookViewId="0" topLeftCell="A34">
      <selection activeCell="J41" sqref="J41"/>
    </sheetView>
  </sheetViews>
  <sheetFormatPr defaultColWidth="9.00390625" defaultRowHeight="12.75"/>
  <cols>
    <col min="2" max="2" width="23.375" style="0" customWidth="1"/>
    <col min="3" max="3" width="12.25390625" style="0" customWidth="1"/>
    <col min="4" max="4" width="12.375" style="0" customWidth="1"/>
    <col min="5" max="6" width="10.375" style="0" customWidth="1"/>
    <col min="7" max="7" width="13.75390625" style="0" customWidth="1"/>
    <col min="8" max="8" width="11.75390625" style="0" customWidth="1"/>
    <col min="10" max="10" width="18.00390625" style="0" customWidth="1"/>
  </cols>
  <sheetData>
    <row r="1" spans="8:10" ht="12.75">
      <c r="H1" s="301" t="s">
        <v>189</v>
      </c>
      <c r="I1" s="301"/>
      <c r="J1" s="301"/>
    </row>
    <row r="2" spans="7:10" ht="69" customHeight="1">
      <c r="G2" s="302" t="s">
        <v>190</v>
      </c>
      <c r="H2" s="302"/>
      <c r="I2" s="302"/>
      <c r="J2" s="302"/>
    </row>
    <row r="4" spans="1:10" ht="15">
      <c r="A4" s="295" t="s">
        <v>172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5">
      <c r="A5" s="295" t="s">
        <v>173</v>
      </c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5">
      <c r="A6" s="295" t="s">
        <v>174</v>
      </c>
      <c r="B6" s="295"/>
      <c r="C6" s="295"/>
      <c r="D6" s="295"/>
      <c r="E6" s="295"/>
      <c r="F6" s="295"/>
      <c r="G6" s="295"/>
      <c r="H6" s="295"/>
      <c r="I6" s="295"/>
      <c r="J6" s="295"/>
    </row>
    <row r="7" spans="2:4" ht="15">
      <c r="B7" s="131"/>
      <c r="D7" s="121" t="s">
        <v>243</v>
      </c>
    </row>
    <row r="8" spans="1:10" ht="12.75">
      <c r="A8" s="296" t="s">
        <v>175</v>
      </c>
      <c r="B8" s="296"/>
      <c r="C8" s="296"/>
      <c r="D8" s="296"/>
      <c r="E8" s="296"/>
      <c r="F8" s="296"/>
      <c r="G8" s="296"/>
      <c r="H8" s="296"/>
      <c r="I8" s="296"/>
      <c r="J8" s="296"/>
    </row>
    <row r="9" ht="15">
      <c r="B9" s="131"/>
    </row>
    <row r="10" spans="1:10" ht="15">
      <c r="A10" s="295" t="s">
        <v>241</v>
      </c>
      <c r="B10" s="295"/>
      <c r="C10" s="295"/>
      <c r="D10" s="295"/>
      <c r="E10" s="295"/>
      <c r="F10" s="295"/>
      <c r="G10" s="295"/>
      <c r="H10" s="295"/>
      <c r="I10" s="295"/>
      <c r="J10" s="295"/>
    </row>
    <row r="11" ht="15">
      <c r="B11" s="131"/>
    </row>
    <row r="12" spans="1:10" ht="15">
      <c r="A12" s="295" t="s">
        <v>244</v>
      </c>
      <c r="B12" s="295"/>
      <c r="C12" s="295"/>
      <c r="D12" s="295"/>
      <c r="E12" s="295"/>
      <c r="F12" s="295"/>
      <c r="G12" s="295"/>
      <c r="H12" s="295"/>
      <c r="I12" s="295"/>
      <c r="J12" s="295"/>
    </row>
    <row r="13" spans="1:2" ht="15">
      <c r="A13" t="s">
        <v>251</v>
      </c>
      <c r="B13" s="131"/>
    </row>
    <row r="14" spans="1:10" ht="15.75" thickBot="1">
      <c r="A14" s="300" t="s">
        <v>176</v>
      </c>
      <c r="B14" s="300"/>
      <c r="C14" s="300"/>
      <c r="D14" s="300"/>
      <c r="E14" s="300"/>
      <c r="F14" s="300"/>
      <c r="G14" s="300"/>
      <c r="H14" s="300"/>
      <c r="I14" s="300"/>
      <c r="J14" s="300"/>
    </row>
    <row r="15" spans="1:10" ht="15.75" thickBot="1">
      <c r="A15" s="314" t="s">
        <v>248</v>
      </c>
      <c r="B15" s="314"/>
      <c r="C15" s="186"/>
      <c r="D15" s="162"/>
      <c r="E15" s="162"/>
      <c r="F15" s="162"/>
      <c r="G15" s="162"/>
      <c r="H15" s="186"/>
      <c r="I15" s="186"/>
      <c r="J15" s="186"/>
    </row>
    <row r="16" spans="1:10" ht="15.75" thickBot="1">
      <c r="A16" s="297" t="s">
        <v>177</v>
      </c>
      <c r="B16" s="297" t="s">
        <v>178</v>
      </c>
      <c r="C16" s="297" t="s">
        <v>179</v>
      </c>
      <c r="D16" s="303" t="s">
        <v>180</v>
      </c>
      <c r="E16" s="304"/>
      <c r="F16" s="304"/>
      <c r="G16" s="305"/>
      <c r="H16" s="297" t="s">
        <v>181</v>
      </c>
      <c r="I16" s="297" t="s">
        <v>182</v>
      </c>
      <c r="J16" s="297" t="s">
        <v>183</v>
      </c>
    </row>
    <row r="17" spans="1:10" ht="15.75" thickBot="1">
      <c r="A17" s="298"/>
      <c r="B17" s="298"/>
      <c r="C17" s="298"/>
      <c r="D17" s="297" t="s">
        <v>184</v>
      </c>
      <c r="E17" s="303" t="s">
        <v>7</v>
      </c>
      <c r="F17" s="304"/>
      <c r="G17" s="305"/>
      <c r="H17" s="298"/>
      <c r="I17" s="298"/>
      <c r="J17" s="298"/>
    </row>
    <row r="18" spans="1:10" ht="75.75" thickBot="1">
      <c r="A18" s="299"/>
      <c r="B18" s="299"/>
      <c r="C18" s="299"/>
      <c r="D18" s="299"/>
      <c r="E18" s="118" t="s">
        <v>185</v>
      </c>
      <c r="F18" s="118" t="s">
        <v>186</v>
      </c>
      <c r="G18" s="118" t="s">
        <v>187</v>
      </c>
      <c r="H18" s="299"/>
      <c r="I18" s="299"/>
      <c r="J18" s="299"/>
    </row>
    <row r="19" spans="1:10" ht="15.75" thickBot="1">
      <c r="A19" s="128">
        <v>1</v>
      </c>
      <c r="B19" s="118">
        <v>2</v>
      </c>
      <c r="C19" s="118">
        <v>3</v>
      </c>
      <c r="D19" s="118">
        <v>4</v>
      </c>
      <c r="E19" s="118">
        <v>5</v>
      </c>
      <c r="F19" s="118">
        <v>6</v>
      </c>
      <c r="G19" s="118">
        <v>7</v>
      </c>
      <c r="H19" s="118">
        <v>8</v>
      </c>
      <c r="I19" s="118">
        <v>9</v>
      </c>
      <c r="J19" s="118">
        <v>10</v>
      </c>
    </row>
    <row r="20" spans="1:10" ht="32.25" thickBot="1">
      <c r="A20" s="176">
        <v>1</v>
      </c>
      <c r="B20" s="172" t="s">
        <v>230</v>
      </c>
      <c r="C20" s="174">
        <v>6</v>
      </c>
      <c r="D20" s="177">
        <f>E20+F20+G20</f>
        <v>1192.91</v>
      </c>
      <c r="E20" s="175"/>
      <c r="F20" s="178"/>
      <c r="G20" s="177">
        <v>1192.91</v>
      </c>
      <c r="H20" s="178"/>
      <c r="I20" s="178"/>
      <c r="J20" s="177">
        <f>C20*D20*12</f>
        <v>85889.52000000002</v>
      </c>
    </row>
    <row r="21" spans="1:10" ht="63.75" thickBot="1">
      <c r="A21" s="176">
        <v>2</v>
      </c>
      <c r="B21" s="166" t="s">
        <v>231</v>
      </c>
      <c r="C21" s="174">
        <v>2</v>
      </c>
      <c r="D21" s="177">
        <f>E21+F21+G21</f>
        <v>1192.91</v>
      </c>
      <c r="E21" s="175"/>
      <c r="F21" s="178"/>
      <c r="G21" s="177">
        <v>1192.91</v>
      </c>
      <c r="H21" s="178"/>
      <c r="I21" s="178"/>
      <c r="J21" s="177">
        <f>C21*D21*12</f>
        <v>28629.840000000004</v>
      </c>
    </row>
    <row r="22" spans="1:10" ht="32.25" thickBot="1">
      <c r="A22" s="176">
        <v>3</v>
      </c>
      <c r="B22" s="173" t="s">
        <v>232</v>
      </c>
      <c r="C22" s="174">
        <v>88.25</v>
      </c>
      <c r="D22" s="177">
        <f>E22+F22+G22</f>
        <v>655.65</v>
      </c>
      <c r="E22" s="175"/>
      <c r="F22" s="178"/>
      <c r="G22" s="177">
        <v>655.65</v>
      </c>
      <c r="H22" s="178"/>
      <c r="I22" s="178"/>
      <c r="J22" s="177">
        <f>C22*D22*12+0.29</f>
        <v>694333.64</v>
      </c>
    </row>
    <row r="23" spans="1:10" ht="16.5" thickBot="1">
      <c r="A23" s="179"/>
      <c r="B23" s="168"/>
      <c r="C23" s="180"/>
      <c r="D23" s="178"/>
      <c r="E23" s="178"/>
      <c r="F23" s="178"/>
      <c r="G23" s="178">
        <f>E23*21.7%</f>
        <v>0</v>
      </c>
      <c r="H23" s="178"/>
      <c r="I23" s="178"/>
      <c r="J23" s="177">
        <f>C23*D23*12</f>
        <v>0</v>
      </c>
    </row>
    <row r="24" spans="1:10" ht="16.5" thickBot="1">
      <c r="A24" s="293" t="s">
        <v>188</v>
      </c>
      <c r="B24" s="294"/>
      <c r="C24" s="180" t="s">
        <v>139</v>
      </c>
      <c r="D24" s="178"/>
      <c r="E24" s="178" t="s">
        <v>139</v>
      </c>
      <c r="F24" s="178" t="s">
        <v>139</v>
      </c>
      <c r="G24" s="178" t="s">
        <v>139</v>
      </c>
      <c r="H24" s="178" t="s">
        <v>139</v>
      </c>
      <c r="I24" s="178" t="s">
        <v>139</v>
      </c>
      <c r="J24" s="177">
        <f>SUM(J20:J23)</f>
        <v>808853</v>
      </c>
    </row>
    <row r="28" ht="13.5" thickBot="1">
      <c r="A28" t="s">
        <v>249</v>
      </c>
    </row>
    <row r="29" spans="1:10" ht="15.75" thickBot="1">
      <c r="A29" s="297" t="s">
        <v>177</v>
      </c>
      <c r="B29" s="297" t="s">
        <v>178</v>
      </c>
      <c r="C29" s="297" t="s">
        <v>179</v>
      </c>
      <c r="D29" s="303" t="s">
        <v>180</v>
      </c>
      <c r="E29" s="304"/>
      <c r="F29" s="304"/>
      <c r="G29" s="305"/>
      <c r="H29" s="297" t="s">
        <v>181</v>
      </c>
      <c r="I29" s="297" t="s">
        <v>182</v>
      </c>
      <c r="J29" s="297" t="s">
        <v>183</v>
      </c>
    </row>
    <row r="30" spans="1:10" ht="15.75" thickBot="1">
      <c r="A30" s="298"/>
      <c r="B30" s="298"/>
      <c r="C30" s="298"/>
      <c r="D30" s="297" t="s">
        <v>184</v>
      </c>
      <c r="E30" s="303" t="s">
        <v>7</v>
      </c>
      <c r="F30" s="304"/>
      <c r="G30" s="305"/>
      <c r="H30" s="298"/>
      <c r="I30" s="298"/>
      <c r="J30" s="298"/>
    </row>
    <row r="31" spans="1:10" ht="75.75" thickBot="1">
      <c r="A31" s="299"/>
      <c r="B31" s="299"/>
      <c r="C31" s="299"/>
      <c r="D31" s="299"/>
      <c r="E31" s="118" t="s">
        <v>185</v>
      </c>
      <c r="F31" s="118" t="s">
        <v>186</v>
      </c>
      <c r="G31" s="118" t="s">
        <v>187</v>
      </c>
      <c r="H31" s="299"/>
      <c r="I31" s="299"/>
      <c r="J31" s="299"/>
    </row>
    <row r="32" spans="1:10" ht="15">
      <c r="A32" s="163">
        <v>1</v>
      </c>
      <c r="B32" s="181">
        <v>2</v>
      </c>
      <c r="C32" s="181">
        <v>3</v>
      </c>
      <c r="D32" s="181">
        <v>4</v>
      </c>
      <c r="E32" s="181">
        <v>5</v>
      </c>
      <c r="F32" s="181">
        <v>6</v>
      </c>
      <c r="G32" s="181">
        <v>7</v>
      </c>
      <c r="H32" s="181">
        <v>8</v>
      </c>
      <c r="I32" s="181">
        <v>9</v>
      </c>
      <c r="J32" s="181">
        <v>10</v>
      </c>
    </row>
    <row r="33" spans="1:10" ht="15.75">
      <c r="A33" s="182">
        <v>1</v>
      </c>
      <c r="B33" s="166" t="s">
        <v>220</v>
      </c>
      <c r="C33" s="182">
        <v>2</v>
      </c>
      <c r="D33" s="183">
        <f aca="true" t="shared" si="0" ref="D33:D40">E33+F33+G33</f>
        <v>1390.91</v>
      </c>
      <c r="E33" s="182"/>
      <c r="F33" s="182"/>
      <c r="G33" s="182">
        <v>1390.91</v>
      </c>
      <c r="H33" s="182"/>
      <c r="I33" s="182"/>
      <c r="J33" s="183">
        <f aca="true" t="shared" si="1" ref="J33:J41">C33*D33*12</f>
        <v>33381.840000000004</v>
      </c>
    </row>
    <row r="34" spans="1:10" ht="15.75">
      <c r="A34" s="182">
        <v>2</v>
      </c>
      <c r="B34" s="170" t="s">
        <v>221</v>
      </c>
      <c r="C34" s="182">
        <v>1</v>
      </c>
      <c r="D34" s="183">
        <f t="shared" si="0"/>
        <v>1390.91</v>
      </c>
      <c r="E34" s="182"/>
      <c r="F34" s="182"/>
      <c r="G34" s="182">
        <v>1390.91</v>
      </c>
      <c r="H34" s="182"/>
      <c r="I34" s="182"/>
      <c r="J34" s="183">
        <f t="shared" si="1"/>
        <v>16690.920000000002</v>
      </c>
    </row>
    <row r="35" spans="1:10" ht="15.75">
      <c r="A35" s="182">
        <v>3</v>
      </c>
      <c r="B35" s="170" t="s">
        <v>222</v>
      </c>
      <c r="C35" s="182">
        <v>1</v>
      </c>
      <c r="D35" s="183">
        <f t="shared" si="0"/>
        <v>1390.91</v>
      </c>
      <c r="E35" s="182"/>
      <c r="F35" s="182"/>
      <c r="G35" s="182">
        <v>1390.91</v>
      </c>
      <c r="H35" s="182"/>
      <c r="I35" s="182"/>
      <c r="J35" s="183">
        <f t="shared" si="1"/>
        <v>16690.920000000002</v>
      </c>
    </row>
    <row r="36" spans="1:10" ht="15.75">
      <c r="A36" s="182">
        <v>4</v>
      </c>
      <c r="B36" s="166" t="s">
        <v>223</v>
      </c>
      <c r="C36" s="182">
        <v>1</v>
      </c>
      <c r="D36" s="183">
        <f t="shared" si="0"/>
        <v>1390.92</v>
      </c>
      <c r="E36" s="182"/>
      <c r="F36" s="182"/>
      <c r="G36" s="182">
        <v>1390.92</v>
      </c>
      <c r="H36" s="182"/>
      <c r="I36" s="182"/>
      <c r="J36" s="183">
        <f t="shared" si="1"/>
        <v>16691.04</v>
      </c>
    </row>
    <row r="37" spans="1:10" ht="31.5">
      <c r="A37" s="182">
        <v>5</v>
      </c>
      <c r="B37" s="166" t="s">
        <v>226</v>
      </c>
      <c r="C37" s="182">
        <v>1</v>
      </c>
      <c r="D37" s="183">
        <f t="shared" si="0"/>
        <v>1390.92</v>
      </c>
      <c r="E37" s="182"/>
      <c r="F37" s="182"/>
      <c r="G37" s="182">
        <v>1390.92</v>
      </c>
      <c r="H37" s="182"/>
      <c r="I37" s="182"/>
      <c r="J37" s="183">
        <f t="shared" si="1"/>
        <v>16691.04</v>
      </c>
    </row>
    <row r="38" spans="1:10" ht="31.5">
      <c r="A38" s="182">
        <v>6</v>
      </c>
      <c r="B38" s="166" t="s">
        <v>229</v>
      </c>
      <c r="C38" s="182">
        <v>11.5</v>
      </c>
      <c r="D38" s="183">
        <f t="shared" si="0"/>
        <v>1390.92</v>
      </c>
      <c r="E38" s="182"/>
      <c r="F38" s="182"/>
      <c r="G38" s="182">
        <v>1390.92</v>
      </c>
      <c r="H38" s="182"/>
      <c r="I38" s="182"/>
      <c r="J38" s="183">
        <f>C38*D38*12</f>
        <v>191946.96000000002</v>
      </c>
    </row>
    <row r="39" spans="1:10" ht="31.5">
      <c r="A39" s="182">
        <v>7</v>
      </c>
      <c r="B39" s="172" t="s">
        <v>230</v>
      </c>
      <c r="C39" s="182">
        <v>6</v>
      </c>
      <c r="D39" s="183">
        <f t="shared" si="0"/>
        <v>1390.91</v>
      </c>
      <c r="E39" s="182"/>
      <c r="F39" s="182"/>
      <c r="G39" s="182">
        <v>1390.91</v>
      </c>
      <c r="H39" s="182"/>
      <c r="I39" s="182"/>
      <c r="J39" s="183">
        <f t="shared" si="1"/>
        <v>100145.52000000002</v>
      </c>
    </row>
    <row r="40" spans="1:10" ht="31.5">
      <c r="A40" s="182">
        <v>8</v>
      </c>
      <c r="B40" s="173" t="s">
        <v>232</v>
      </c>
      <c r="C40" s="174">
        <v>88.25</v>
      </c>
      <c r="D40" s="183">
        <f t="shared" si="0"/>
        <v>369.2</v>
      </c>
      <c r="E40" s="175"/>
      <c r="F40" s="184"/>
      <c r="G40" s="183">
        <v>369.2</v>
      </c>
      <c r="H40" s="184"/>
      <c r="I40" s="184"/>
      <c r="J40" s="183">
        <f>C40*D40*12-0.04</f>
        <v>390982.76</v>
      </c>
    </row>
    <row r="41" spans="1:10" ht="15.75">
      <c r="A41" s="185"/>
      <c r="B41" s="166"/>
      <c r="C41" s="185"/>
      <c r="D41" s="184"/>
      <c r="E41" s="184"/>
      <c r="F41" s="184"/>
      <c r="G41" s="184">
        <f>E41*21.7%</f>
        <v>0</v>
      </c>
      <c r="H41" s="184"/>
      <c r="I41" s="184"/>
      <c r="J41" s="183">
        <f t="shared" si="1"/>
        <v>0</v>
      </c>
    </row>
    <row r="42" spans="1:10" ht="16.5" thickBot="1">
      <c r="A42" s="312" t="s">
        <v>188</v>
      </c>
      <c r="B42" s="313"/>
      <c r="C42" s="180" t="s">
        <v>139</v>
      </c>
      <c r="D42" s="178"/>
      <c r="E42" s="178" t="s">
        <v>139</v>
      </c>
      <c r="F42" s="178" t="s">
        <v>139</v>
      </c>
      <c r="G42" s="178" t="s">
        <v>139</v>
      </c>
      <c r="H42" s="178" t="s">
        <v>139</v>
      </c>
      <c r="I42" s="178" t="s">
        <v>139</v>
      </c>
      <c r="J42" s="177">
        <f>SUM(J33:J41)</f>
        <v>783221</v>
      </c>
    </row>
    <row r="611" ht="12.75"/>
  </sheetData>
  <sheetProtection/>
  <mergeCells count="30">
    <mergeCell ref="J29:J31"/>
    <mergeCell ref="D30:D31"/>
    <mergeCell ref="E30:G30"/>
    <mergeCell ref="A42:B42"/>
    <mergeCell ref="J16:J18"/>
    <mergeCell ref="D17:D18"/>
    <mergeCell ref="E17:G17"/>
    <mergeCell ref="A24:B24"/>
    <mergeCell ref="A29:A31"/>
    <mergeCell ref="B29:B31"/>
    <mergeCell ref="C29:C31"/>
    <mergeCell ref="D29:G29"/>
    <mergeCell ref="H29:H31"/>
    <mergeCell ref="I29:I31"/>
    <mergeCell ref="A10:J10"/>
    <mergeCell ref="A12:J12"/>
    <mergeCell ref="A14:J14"/>
    <mergeCell ref="A15:B15"/>
    <mergeCell ref="A16:A18"/>
    <mergeCell ref="B16:B18"/>
    <mergeCell ref="C16:C18"/>
    <mergeCell ref="D16:G16"/>
    <mergeCell ref="H16:H18"/>
    <mergeCell ref="I16:I18"/>
    <mergeCell ref="H1:J1"/>
    <mergeCell ref="G2:J2"/>
    <mergeCell ref="A4:J4"/>
    <mergeCell ref="A5:J5"/>
    <mergeCell ref="A6:J6"/>
    <mergeCell ref="A8:J8"/>
  </mergeCells>
  <hyperlinks>
    <hyperlink ref="A8" location="P611" display="P61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B7" sqref="B7"/>
    </sheetView>
  </sheetViews>
  <sheetFormatPr defaultColWidth="9.00390625" defaultRowHeight="12.75"/>
  <cols>
    <col min="2" max="2" width="34.375" style="0" customWidth="1"/>
    <col min="3" max="3" width="15.375" style="0" customWidth="1"/>
    <col min="4" max="4" width="14.75390625" style="0" customWidth="1"/>
    <col min="5" max="5" width="17.25390625" style="0" customWidth="1"/>
    <col min="6" max="6" width="13.875" style="0" customWidth="1"/>
  </cols>
  <sheetData>
    <row r="1" spans="1:4" ht="15">
      <c r="A1" s="295" t="s">
        <v>191</v>
      </c>
      <c r="B1" s="295"/>
      <c r="C1" s="295"/>
      <c r="D1" s="295"/>
    </row>
    <row r="2" spans="1:4" ht="15">
      <c r="A2" s="295" t="s">
        <v>192</v>
      </c>
      <c r="B2" s="295"/>
      <c r="C2" s="295"/>
      <c r="D2" s="295"/>
    </row>
    <row r="3" spans="1:4" ht="15">
      <c r="A3" s="295" t="s">
        <v>193</v>
      </c>
      <c r="B3" s="295"/>
      <c r="C3" s="295"/>
      <c r="D3" s="295"/>
    </row>
    <row r="4" spans="1:4" ht="15">
      <c r="A4" s="295" t="s">
        <v>194</v>
      </c>
      <c r="B4" s="295"/>
      <c r="C4" s="295"/>
      <c r="D4" s="295"/>
    </row>
    <row r="5" spans="1:4" ht="15">
      <c r="A5" s="295" t="s">
        <v>195</v>
      </c>
      <c r="B5" s="295"/>
      <c r="C5" s="295"/>
      <c r="D5" s="295"/>
    </row>
    <row r="6" spans="1:2" ht="15.75" thickBot="1">
      <c r="A6" s="315" t="s">
        <v>250</v>
      </c>
      <c r="B6" s="315"/>
    </row>
    <row r="7" spans="1:6" ht="90.75" thickBot="1">
      <c r="A7" s="119" t="s">
        <v>177</v>
      </c>
      <c r="B7" s="120" t="s">
        <v>196</v>
      </c>
      <c r="C7" s="120" t="s">
        <v>245</v>
      </c>
      <c r="D7" s="120" t="s">
        <v>198</v>
      </c>
      <c r="E7" s="120" t="s">
        <v>252</v>
      </c>
      <c r="F7" s="120" t="s">
        <v>198</v>
      </c>
    </row>
    <row r="8" spans="1:6" ht="15.75" thickBot="1">
      <c r="A8" s="128">
        <v>1</v>
      </c>
      <c r="B8" s="118">
        <v>2</v>
      </c>
      <c r="C8" s="118">
        <v>3</v>
      </c>
      <c r="D8" s="118">
        <v>4</v>
      </c>
      <c r="E8" s="118">
        <v>3</v>
      </c>
      <c r="F8" s="118">
        <v>4</v>
      </c>
    </row>
    <row r="9" spans="1:6" ht="30.75" thickBot="1">
      <c r="A9" s="160">
        <v>1</v>
      </c>
      <c r="B9" s="129" t="s">
        <v>199</v>
      </c>
      <c r="C9" s="161" t="s">
        <v>139</v>
      </c>
      <c r="D9" s="161">
        <f>D10+D11+D12</f>
        <v>177947.66</v>
      </c>
      <c r="E9" s="161" t="s">
        <v>139</v>
      </c>
      <c r="F9" s="161">
        <f>F10+F11+F12</f>
        <v>172308.62</v>
      </c>
    </row>
    <row r="10" spans="1:6" ht="15.75" thickBot="1">
      <c r="A10" s="160" t="s">
        <v>208</v>
      </c>
      <c r="B10" s="129" t="s">
        <v>200</v>
      </c>
      <c r="C10" s="161">
        <v>808853</v>
      </c>
      <c r="D10" s="161">
        <f>C10*22%</f>
        <v>177947.66</v>
      </c>
      <c r="E10" s="161">
        <v>783221</v>
      </c>
      <c r="F10" s="161">
        <f>E10*22%</f>
        <v>172308.62</v>
      </c>
    </row>
    <row r="11" spans="1:6" ht="15.75" thickBot="1">
      <c r="A11" s="160" t="s">
        <v>209</v>
      </c>
      <c r="B11" s="129" t="s">
        <v>201</v>
      </c>
      <c r="C11" s="161"/>
      <c r="D11" s="161"/>
      <c r="E11" s="161"/>
      <c r="F11" s="161"/>
    </row>
    <row r="12" spans="1:6" ht="60.75" thickBot="1">
      <c r="A12" s="160" t="s">
        <v>210</v>
      </c>
      <c r="B12" s="129" t="s">
        <v>202</v>
      </c>
      <c r="C12" s="161"/>
      <c r="D12" s="161"/>
      <c r="E12" s="161"/>
      <c r="F12" s="161"/>
    </row>
    <row r="13" spans="1:6" ht="45.75" thickBot="1">
      <c r="A13" s="160">
        <v>2</v>
      </c>
      <c r="B13" s="129" t="s">
        <v>203</v>
      </c>
      <c r="C13" s="161" t="s">
        <v>139</v>
      </c>
      <c r="D13" s="161">
        <f>D14+D16+D17+D18+D19</f>
        <v>25074.443</v>
      </c>
      <c r="E13" s="161" t="s">
        <v>139</v>
      </c>
      <c r="F13" s="161">
        <f>F14+F16+F17+F18+F19</f>
        <v>24279.851</v>
      </c>
    </row>
    <row r="14" spans="1:6" ht="15">
      <c r="A14" s="306" t="s">
        <v>211</v>
      </c>
      <c r="B14" s="157" t="s">
        <v>7</v>
      </c>
      <c r="C14" s="308">
        <v>808853</v>
      </c>
      <c r="D14" s="308">
        <f>C14*2.9%</f>
        <v>23456.736999999997</v>
      </c>
      <c r="E14" s="308">
        <v>783221</v>
      </c>
      <c r="F14" s="308">
        <f>E14*2.9%</f>
        <v>22713.409</v>
      </c>
    </row>
    <row r="15" spans="1:6" ht="60.75" thickBot="1">
      <c r="A15" s="307"/>
      <c r="B15" s="129" t="s">
        <v>204</v>
      </c>
      <c r="C15" s="309"/>
      <c r="D15" s="309"/>
      <c r="E15" s="309"/>
      <c r="F15" s="309"/>
    </row>
    <row r="16" spans="1:6" ht="60.75" thickBot="1">
      <c r="A16" s="160" t="s">
        <v>212</v>
      </c>
      <c r="B16" s="129" t="s">
        <v>205</v>
      </c>
      <c r="C16" s="161"/>
      <c r="D16" s="161"/>
      <c r="E16" s="161"/>
      <c r="F16" s="161"/>
    </row>
    <row r="17" spans="1:6" ht="75.75" thickBot="1">
      <c r="A17" s="160" t="s">
        <v>213</v>
      </c>
      <c r="B17" s="129" t="s">
        <v>206</v>
      </c>
      <c r="C17" s="161">
        <v>808853</v>
      </c>
      <c r="D17" s="161">
        <f>C17*0.2%</f>
        <v>1617.7060000000001</v>
      </c>
      <c r="E17" s="161">
        <v>783221</v>
      </c>
      <c r="F17" s="161">
        <f>E17*0.2%</f>
        <v>1566.442</v>
      </c>
    </row>
    <row r="18" spans="1:6" ht="75.75" thickBot="1">
      <c r="A18" s="160" t="s">
        <v>214</v>
      </c>
      <c r="B18" s="129" t="s">
        <v>217</v>
      </c>
      <c r="C18" s="161"/>
      <c r="D18" s="161"/>
      <c r="E18" s="161"/>
      <c r="F18" s="161"/>
    </row>
    <row r="19" spans="1:6" ht="75.75" thickBot="1">
      <c r="A19" s="160" t="s">
        <v>215</v>
      </c>
      <c r="B19" s="129" t="s">
        <v>216</v>
      </c>
      <c r="C19" s="161"/>
      <c r="D19" s="161"/>
      <c r="E19" s="161"/>
      <c r="F19" s="161"/>
    </row>
    <row r="20" spans="1:6" ht="45.75" thickBot="1">
      <c r="A20" s="160">
        <v>3</v>
      </c>
      <c r="B20" s="129" t="s">
        <v>207</v>
      </c>
      <c r="C20" s="161">
        <v>808853</v>
      </c>
      <c r="D20" s="161">
        <f>C20*5.1%+0.39</f>
        <v>41251.893</v>
      </c>
      <c r="E20" s="161">
        <v>783221</v>
      </c>
      <c r="F20" s="161">
        <f>E20*5.1%+0.26</f>
        <v>39944.531</v>
      </c>
    </row>
    <row r="21" spans="1:6" ht="15.75" thickBot="1">
      <c r="A21" s="117"/>
      <c r="B21" s="158" t="s">
        <v>188</v>
      </c>
      <c r="C21" s="161" t="s">
        <v>139</v>
      </c>
      <c r="D21" s="161">
        <f>D9+D13+D20</f>
        <v>244273.99599999998</v>
      </c>
      <c r="E21" s="161" t="s">
        <v>139</v>
      </c>
      <c r="F21" s="161">
        <f>F9+F13+F20</f>
        <v>236533.00199999998</v>
      </c>
    </row>
  </sheetData>
  <sheetProtection/>
  <mergeCells count="11">
    <mergeCell ref="A14:A15"/>
    <mergeCell ref="C14:C15"/>
    <mergeCell ref="D14:D15"/>
    <mergeCell ref="E14:E15"/>
    <mergeCell ref="F14:F15"/>
    <mergeCell ref="A1:D1"/>
    <mergeCell ref="A2:D2"/>
    <mergeCell ref="A3:D3"/>
    <mergeCell ref="A4:D4"/>
    <mergeCell ref="A5:D5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zoomScalePageLayoutView="0" workbookViewId="0" topLeftCell="A7">
      <pane xSplit="4" ySplit="1" topLeftCell="S29" activePane="bottomRight" state="frozen"/>
      <selection pane="topLeft" activeCell="A7" sqref="A7"/>
      <selection pane="topRight" activeCell="E7" sqref="E7"/>
      <selection pane="bottomLeft" activeCell="A8" sqref="A8"/>
      <selection pane="bottomRight" activeCell="J36" sqref="J36"/>
    </sheetView>
  </sheetViews>
  <sheetFormatPr defaultColWidth="9.00390625" defaultRowHeight="12.75"/>
  <cols>
    <col min="1" max="1" width="75.375" style="0" customWidth="1"/>
    <col min="2" max="2" width="12.875" style="0" customWidth="1"/>
    <col min="3" max="3" width="19.25390625" style="0" customWidth="1"/>
    <col min="4" max="4" width="12.75390625" style="0" customWidth="1"/>
    <col min="5" max="5" width="20.875" style="0" customWidth="1"/>
    <col min="6" max="6" width="25.25390625" style="0" customWidth="1"/>
    <col min="7" max="7" width="25.00390625" style="0" customWidth="1"/>
    <col min="8" max="8" width="16.875" style="0" customWidth="1"/>
    <col min="9" max="9" width="15.625" style="0" customWidth="1"/>
    <col min="10" max="10" width="17.25390625" style="0" customWidth="1"/>
    <col min="11" max="11" width="16.125" style="0" customWidth="1"/>
    <col min="17" max="17" width="12.75390625" style="0" customWidth="1"/>
    <col min="18" max="18" width="26.25390625" style="0" customWidth="1"/>
    <col min="19" max="19" width="22.125" style="0" customWidth="1"/>
    <col min="20" max="20" width="25.75390625" style="0" customWidth="1"/>
    <col min="21" max="21" width="12.25390625" style="0" customWidth="1"/>
  </cols>
  <sheetData>
    <row r="1" spans="1:21" ht="18.75">
      <c r="A1" s="226" t="s">
        <v>163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5"/>
      <c r="O1" s="5"/>
      <c r="P1" s="5"/>
      <c r="Q1" s="5"/>
      <c r="R1" s="3"/>
      <c r="S1" s="3"/>
      <c r="T1" s="3"/>
      <c r="U1" s="3"/>
    </row>
    <row r="2" spans="1:21" ht="18.75">
      <c r="A2" s="226" t="s">
        <v>155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5"/>
      <c r="O2" s="5"/>
      <c r="P2" s="5"/>
      <c r="Q2" s="5"/>
      <c r="R2" s="3"/>
      <c r="S2" s="3"/>
      <c r="T2" s="3"/>
      <c r="U2" s="3"/>
    </row>
    <row r="3" spans="1:21" ht="24" thickBot="1">
      <c r="A3" s="226" t="s">
        <v>169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133"/>
      <c r="O3" s="133"/>
      <c r="P3" s="40"/>
      <c r="Q3" s="40"/>
      <c r="R3" s="3"/>
      <c r="S3" s="3"/>
      <c r="T3" s="3"/>
      <c r="U3" s="3"/>
    </row>
    <row r="4" spans="1:21" ht="12.75" customHeight="1">
      <c r="A4" s="198" t="s">
        <v>4</v>
      </c>
      <c r="B4" s="215" t="s">
        <v>38</v>
      </c>
      <c r="C4" s="212" t="s">
        <v>39</v>
      </c>
      <c r="D4" s="212" t="s">
        <v>257</v>
      </c>
      <c r="E4" s="202" t="s">
        <v>40</v>
      </c>
      <c r="F4" s="218" t="s">
        <v>2</v>
      </c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6"/>
      <c r="U4" s="110"/>
    </row>
    <row r="5" spans="1:21" ht="12.75">
      <c r="A5" s="199"/>
      <c r="B5" s="216"/>
      <c r="C5" s="213"/>
      <c r="D5" s="213"/>
      <c r="E5" s="203"/>
      <c r="F5" s="219"/>
      <c r="G5" s="209" t="s">
        <v>19</v>
      </c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2"/>
      <c r="U5" s="110"/>
    </row>
    <row r="6" spans="1:21" ht="12.75" customHeight="1">
      <c r="A6" s="200"/>
      <c r="B6" s="216"/>
      <c r="C6" s="213"/>
      <c r="D6" s="213"/>
      <c r="E6" s="203"/>
      <c r="F6" s="219"/>
      <c r="G6" s="210" t="s">
        <v>41</v>
      </c>
      <c r="H6" s="104"/>
      <c r="I6" s="210" t="s">
        <v>258</v>
      </c>
      <c r="J6" s="103"/>
      <c r="K6" s="103"/>
      <c r="L6" s="209" t="s">
        <v>19</v>
      </c>
      <c r="M6" s="209"/>
      <c r="N6" s="209"/>
      <c r="O6" s="209"/>
      <c r="P6" s="209"/>
      <c r="Q6" s="104"/>
      <c r="R6" s="223" t="s">
        <v>44</v>
      </c>
      <c r="S6" s="224"/>
      <c r="T6" s="224"/>
      <c r="U6" s="225"/>
    </row>
    <row r="7" spans="1:21" ht="184.5" customHeight="1" thickBot="1">
      <c r="A7" s="201"/>
      <c r="B7" s="217"/>
      <c r="C7" s="214"/>
      <c r="D7" s="214"/>
      <c r="E7" s="204"/>
      <c r="F7" s="220"/>
      <c r="G7" s="211"/>
      <c r="H7" s="103" t="s">
        <v>42</v>
      </c>
      <c r="I7" s="211"/>
      <c r="J7" s="105" t="s">
        <v>253</v>
      </c>
      <c r="K7" s="105" t="s">
        <v>301</v>
      </c>
      <c r="L7" s="105"/>
      <c r="M7" s="105"/>
      <c r="N7" s="105"/>
      <c r="O7" s="106"/>
      <c r="P7" s="106"/>
      <c r="Q7" s="106" t="s">
        <v>43</v>
      </c>
      <c r="R7" s="107" t="s">
        <v>45</v>
      </c>
      <c r="S7" s="108" t="s">
        <v>46</v>
      </c>
      <c r="T7" s="109" t="s">
        <v>47</v>
      </c>
      <c r="U7" s="110" t="s">
        <v>48</v>
      </c>
    </row>
    <row r="8" spans="1:21" ht="15.75">
      <c r="A8" s="41">
        <v>1</v>
      </c>
      <c r="B8" s="92">
        <v>2</v>
      </c>
      <c r="C8" s="92">
        <v>3</v>
      </c>
      <c r="D8" s="92">
        <v>4</v>
      </c>
      <c r="E8" s="42">
        <v>5</v>
      </c>
      <c r="F8" s="43">
        <v>6</v>
      </c>
      <c r="G8" s="44">
        <v>7</v>
      </c>
      <c r="H8" s="44">
        <v>8</v>
      </c>
      <c r="I8" s="93" t="s">
        <v>259</v>
      </c>
      <c r="J8" s="93" t="s">
        <v>49</v>
      </c>
      <c r="K8" s="93" t="s">
        <v>50</v>
      </c>
      <c r="L8" s="93" t="s">
        <v>51</v>
      </c>
      <c r="M8" s="93" t="s">
        <v>260</v>
      </c>
      <c r="N8" s="93" t="s">
        <v>261</v>
      </c>
      <c r="O8" s="93" t="s">
        <v>262</v>
      </c>
      <c r="P8" s="93" t="s">
        <v>263</v>
      </c>
      <c r="Q8" s="44">
        <v>10</v>
      </c>
      <c r="R8" s="44">
        <v>11</v>
      </c>
      <c r="S8" s="187" t="s">
        <v>264</v>
      </c>
      <c r="T8" s="187" t="s">
        <v>265</v>
      </c>
      <c r="U8" s="187" t="s">
        <v>266</v>
      </c>
    </row>
    <row r="9" spans="1:21" ht="18.75">
      <c r="A9" s="136" t="s">
        <v>52</v>
      </c>
      <c r="B9" s="137">
        <v>100</v>
      </c>
      <c r="C9" s="137"/>
      <c r="D9" s="137"/>
      <c r="E9" s="138"/>
      <c r="F9" s="139">
        <f>F11+F15+F19+F20+F21+F23</f>
        <v>45700902</v>
      </c>
      <c r="G9" s="139">
        <f aca="true" t="shared" si="0" ref="G9:U9">G11+G15+G19+G20+G21+G23</f>
        <v>40141036</v>
      </c>
      <c r="H9" s="139">
        <f t="shared" si="0"/>
        <v>0</v>
      </c>
      <c r="I9" s="139">
        <f t="shared" si="0"/>
        <v>1569721</v>
      </c>
      <c r="J9" s="139">
        <f t="shared" si="0"/>
        <v>0</v>
      </c>
      <c r="K9" s="139">
        <f t="shared" si="0"/>
        <v>1569721</v>
      </c>
      <c r="L9" s="139">
        <f t="shared" si="0"/>
        <v>0</v>
      </c>
      <c r="M9" s="139">
        <f t="shared" si="0"/>
        <v>0</v>
      </c>
      <c r="N9" s="139">
        <f t="shared" si="0"/>
        <v>0</v>
      </c>
      <c r="O9" s="139">
        <f t="shared" si="0"/>
        <v>0</v>
      </c>
      <c r="P9" s="139">
        <f t="shared" si="0"/>
        <v>0</v>
      </c>
      <c r="Q9" s="139">
        <f t="shared" si="0"/>
        <v>0</v>
      </c>
      <c r="R9" s="139">
        <f t="shared" si="0"/>
        <v>3990145</v>
      </c>
      <c r="S9" s="139">
        <f t="shared" si="0"/>
        <v>2027193</v>
      </c>
      <c r="T9" s="139">
        <f t="shared" si="0"/>
        <v>1962952</v>
      </c>
      <c r="U9" s="139">
        <f t="shared" si="0"/>
        <v>0</v>
      </c>
    </row>
    <row r="10" spans="1:21" ht="18.75">
      <c r="A10" s="136" t="s">
        <v>7</v>
      </c>
      <c r="B10" s="140"/>
      <c r="C10" s="140"/>
      <c r="D10" s="140"/>
      <c r="E10" s="141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</row>
    <row r="11" spans="1:21" ht="18.75">
      <c r="A11" s="136" t="s">
        <v>53</v>
      </c>
      <c r="B11" s="140">
        <v>110</v>
      </c>
      <c r="C11" s="140">
        <v>120</v>
      </c>
      <c r="D11" s="140"/>
      <c r="E11" s="141"/>
      <c r="F11" s="139">
        <f>F13+F14</f>
        <v>0</v>
      </c>
      <c r="G11" s="139">
        <f aca="true" t="shared" si="1" ref="G11:U11">G13+G14</f>
        <v>0</v>
      </c>
      <c r="H11" s="139">
        <f t="shared" si="1"/>
        <v>0</v>
      </c>
      <c r="I11" s="139">
        <f t="shared" si="1"/>
        <v>0</v>
      </c>
      <c r="J11" s="139">
        <f t="shared" si="1"/>
        <v>0</v>
      </c>
      <c r="K11" s="139">
        <f t="shared" si="1"/>
        <v>0</v>
      </c>
      <c r="L11" s="139">
        <f t="shared" si="1"/>
        <v>0</v>
      </c>
      <c r="M11" s="139">
        <f t="shared" si="1"/>
        <v>0</v>
      </c>
      <c r="N11" s="139">
        <f t="shared" si="1"/>
        <v>0</v>
      </c>
      <c r="O11" s="139">
        <f t="shared" si="1"/>
        <v>0</v>
      </c>
      <c r="P11" s="139">
        <f t="shared" si="1"/>
        <v>0</v>
      </c>
      <c r="Q11" s="139">
        <f t="shared" si="1"/>
        <v>0</v>
      </c>
      <c r="R11" s="139">
        <f t="shared" si="1"/>
        <v>0</v>
      </c>
      <c r="S11" s="139">
        <f t="shared" si="1"/>
        <v>0</v>
      </c>
      <c r="T11" s="139">
        <f t="shared" si="1"/>
        <v>0</v>
      </c>
      <c r="U11" s="139">
        <f t="shared" si="1"/>
        <v>0</v>
      </c>
    </row>
    <row r="12" spans="1:21" ht="18.75">
      <c r="A12" s="136" t="s">
        <v>54</v>
      </c>
      <c r="B12" s="140"/>
      <c r="C12" s="140"/>
      <c r="D12" s="140"/>
      <c r="E12" s="141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</row>
    <row r="13" spans="1:21" ht="18.75">
      <c r="A13" s="136"/>
      <c r="B13" s="140">
        <v>111</v>
      </c>
      <c r="C13" s="140"/>
      <c r="D13" s="140"/>
      <c r="E13" s="141"/>
      <c r="F13" s="139">
        <f>G13+H13+I13+Q13+R13</f>
        <v>0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>
        <f>S13+T13+U13</f>
        <v>0</v>
      </c>
      <c r="S13" s="139"/>
      <c r="T13" s="139"/>
      <c r="U13" s="139"/>
    </row>
    <row r="14" spans="1:21" ht="18.75">
      <c r="A14" s="136"/>
      <c r="B14" s="140">
        <v>112</v>
      </c>
      <c r="C14" s="140"/>
      <c r="D14" s="140"/>
      <c r="E14" s="141"/>
      <c r="F14" s="139">
        <f>G14+H14+I14+Q14+R14</f>
        <v>0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>
        <f>S14+T14+U14</f>
        <v>0</v>
      </c>
      <c r="S14" s="139"/>
      <c r="T14" s="139"/>
      <c r="U14" s="139"/>
    </row>
    <row r="15" spans="1:21" ht="18.75">
      <c r="A15" s="136" t="s">
        <v>55</v>
      </c>
      <c r="B15" s="142">
        <v>120</v>
      </c>
      <c r="C15" s="142">
        <v>130</v>
      </c>
      <c r="D15" s="142"/>
      <c r="E15" s="141"/>
      <c r="F15" s="139">
        <f>F17+F18</f>
        <v>44131181</v>
      </c>
      <c r="G15" s="139">
        <f aca="true" t="shared" si="2" ref="G15:U15">G17+G18</f>
        <v>40141036</v>
      </c>
      <c r="H15" s="139">
        <f t="shared" si="2"/>
        <v>0</v>
      </c>
      <c r="I15" s="139">
        <f t="shared" si="2"/>
        <v>0</v>
      </c>
      <c r="J15" s="139">
        <f t="shared" si="2"/>
        <v>0</v>
      </c>
      <c r="K15" s="139">
        <f t="shared" si="2"/>
        <v>0</v>
      </c>
      <c r="L15" s="139">
        <f t="shared" si="2"/>
        <v>0</v>
      </c>
      <c r="M15" s="139">
        <f t="shared" si="2"/>
        <v>0</v>
      </c>
      <c r="N15" s="139">
        <f t="shared" si="2"/>
        <v>0</v>
      </c>
      <c r="O15" s="139">
        <f t="shared" si="2"/>
        <v>0</v>
      </c>
      <c r="P15" s="139">
        <f t="shared" si="2"/>
        <v>0</v>
      </c>
      <c r="Q15" s="139">
        <f t="shared" si="2"/>
        <v>0</v>
      </c>
      <c r="R15" s="139">
        <f t="shared" si="2"/>
        <v>3990145</v>
      </c>
      <c r="S15" s="139">
        <f t="shared" si="2"/>
        <v>2027193</v>
      </c>
      <c r="T15" s="139">
        <f t="shared" si="2"/>
        <v>1962952</v>
      </c>
      <c r="U15" s="139">
        <f t="shared" si="2"/>
        <v>0</v>
      </c>
    </row>
    <row r="16" spans="1:21" ht="18.75">
      <c r="A16" s="136" t="s">
        <v>7</v>
      </c>
      <c r="B16" s="142"/>
      <c r="C16" s="142"/>
      <c r="D16" s="142"/>
      <c r="E16" s="141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</row>
    <row r="17" spans="1:21" ht="18.75">
      <c r="A17" s="136" t="s">
        <v>101</v>
      </c>
      <c r="B17" s="142">
        <v>121</v>
      </c>
      <c r="C17" s="142">
        <v>131</v>
      </c>
      <c r="D17" s="142"/>
      <c r="E17" s="141"/>
      <c r="F17" s="139">
        <f>G17</f>
        <v>40141036</v>
      </c>
      <c r="G17" s="139">
        <v>40141036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>
        <f>S17+T17+U17</f>
        <v>0</v>
      </c>
      <c r="S17" s="139"/>
      <c r="T17" s="139"/>
      <c r="U17" s="139"/>
    </row>
    <row r="18" spans="1:21" ht="47.25">
      <c r="A18" s="136" t="s">
        <v>102</v>
      </c>
      <c r="B18" s="142">
        <v>122</v>
      </c>
      <c r="C18" s="142">
        <v>131</v>
      </c>
      <c r="D18" s="142"/>
      <c r="E18" s="141"/>
      <c r="F18" s="139">
        <f>R18</f>
        <v>3990145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>
        <f>S18+T18+U18</f>
        <v>3990145</v>
      </c>
      <c r="S18" s="139">
        <v>2027193</v>
      </c>
      <c r="T18" s="139">
        <v>1962952</v>
      </c>
      <c r="U18" s="139"/>
    </row>
    <row r="19" spans="1:21" ht="18.75">
      <c r="A19" s="136" t="s">
        <v>56</v>
      </c>
      <c r="B19" s="142">
        <v>130</v>
      </c>
      <c r="C19" s="142">
        <v>140</v>
      </c>
      <c r="D19" s="142"/>
      <c r="E19" s="138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</row>
    <row r="20" spans="1:21" ht="47.25">
      <c r="A20" s="136" t="s">
        <v>57</v>
      </c>
      <c r="B20" s="142">
        <v>140</v>
      </c>
      <c r="C20" s="142">
        <v>152</v>
      </c>
      <c r="D20" s="142"/>
      <c r="E20" s="138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</row>
    <row r="21" spans="1:21" ht="18.75">
      <c r="A21" s="136" t="s">
        <v>58</v>
      </c>
      <c r="B21" s="142">
        <v>150</v>
      </c>
      <c r="C21" s="142">
        <v>183</v>
      </c>
      <c r="D21" s="142"/>
      <c r="E21" s="138"/>
      <c r="F21" s="139">
        <f>I21</f>
        <v>1569721</v>
      </c>
      <c r="G21" s="139"/>
      <c r="H21" s="139"/>
      <c r="I21" s="139">
        <f>J21+K21+L21+M21+N21+O21+P21</f>
        <v>1569721</v>
      </c>
      <c r="J21" s="139"/>
      <c r="K21" s="139">
        <v>1569721</v>
      </c>
      <c r="L21" s="139"/>
      <c r="M21" s="139"/>
      <c r="N21" s="139"/>
      <c r="O21" s="139"/>
      <c r="P21" s="139"/>
      <c r="Q21" s="139"/>
      <c r="R21" s="139"/>
      <c r="S21" s="139"/>
      <c r="T21" s="139"/>
      <c r="U21" s="139"/>
    </row>
    <row r="22" spans="1:21" ht="18.75">
      <c r="A22" s="136" t="s">
        <v>59</v>
      </c>
      <c r="B22" s="142">
        <v>160</v>
      </c>
      <c r="C22" s="142">
        <v>189</v>
      </c>
      <c r="D22" s="142"/>
      <c r="E22" s="138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</row>
    <row r="23" spans="1:21" ht="18.75">
      <c r="A23" s="136" t="s">
        <v>60</v>
      </c>
      <c r="B23" s="142">
        <v>180</v>
      </c>
      <c r="C23" s="142" t="s">
        <v>62</v>
      </c>
      <c r="D23" s="142"/>
      <c r="E23" s="138"/>
      <c r="F23" s="139">
        <f>F25+F26</f>
        <v>0</v>
      </c>
      <c r="G23" s="139">
        <f aca="true" t="shared" si="3" ref="G23:U23">G25+G26</f>
        <v>0</v>
      </c>
      <c r="H23" s="139">
        <f t="shared" si="3"/>
        <v>0</v>
      </c>
      <c r="I23" s="139">
        <f t="shared" si="3"/>
        <v>0</v>
      </c>
      <c r="J23" s="139">
        <f t="shared" si="3"/>
        <v>0</v>
      </c>
      <c r="K23" s="139">
        <f t="shared" si="3"/>
        <v>0</v>
      </c>
      <c r="L23" s="139">
        <f t="shared" si="3"/>
        <v>0</v>
      </c>
      <c r="M23" s="139">
        <f t="shared" si="3"/>
        <v>0</v>
      </c>
      <c r="N23" s="139">
        <f t="shared" si="3"/>
        <v>0</v>
      </c>
      <c r="O23" s="139">
        <f t="shared" si="3"/>
        <v>0</v>
      </c>
      <c r="P23" s="139">
        <f t="shared" si="3"/>
        <v>0</v>
      </c>
      <c r="Q23" s="139">
        <f t="shared" si="3"/>
        <v>0</v>
      </c>
      <c r="R23" s="139">
        <f t="shared" si="3"/>
        <v>0</v>
      </c>
      <c r="S23" s="139">
        <f t="shared" si="3"/>
        <v>0</v>
      </c>
      <c r="T23" s="139">
        <f t="shared" si="3"/>
        <v>0</v>
      </c>
      <c r="U23" s="139">
        <f t="shared" si="3"/>
        <v>0</v>
      </c>
    </row>
    <row r="24" spans="1:21" ht="18.75">
      <c r="A24" s="136" t="s">
        <v>61</v>
      </c>
      <c r="B24" s="142"/>
      <c r="C24" s="142"/>
      <c r="D24" s="142"/>
      <c r="E24" s="136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  <row r="25" spans="1:21" ht="18.75">
      <c r="A25" s="136"/>
      <c r="B25" s="142">
        <v>181</v>
      </c>
      <c r="C25" s="142"/>
      <c r="D25" s="142"/>
      <c r="E25" s="138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>
        <f>S25+T25+U25</f>
        <v>0</v>
      </c>
      <c r="S25" s="139"/>
      <c r="T25" s="139"/>
      <c r="U25" s="139"/>
    </row>
    <row r="26" spans="1:21" ht="18.75">
      <c r="A26" s="136"/>
      <c r="B26" s="142">
        <v>182</v>
      </c>
      <c r="C26" s="142"/>
      <c r="D26" s="142"/>
      <c r="E26" s="138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>
        <f>S26+T26+U26</f>
        <v>0</v>
      </c>
      <c r="S26" s="139"/>
      <c r="T26" s="139"/>
      <c r="U26" s="139"/>
    </row>
    <row r="27" spans="1:21" ht="18.75">
      <c r="A27" s="136" t="s">
        <v>63</v>
      </c>
      <c r="B27" s="142">
        <v>200</v>
      </c>
      <c r="C27" s="142" t="s">
        <v>62</v>
      </c>
      <c r="D27" s="142"/>
      <c r="E27" s="138"/>
      <c r="F27" s="139">
        <f aca="true" t="shared" si="4" ref="F27:U27">F30+F39++F43+F49+F50+F55</f>
        <v>45700902</v>
      </c>
      <c r="G27" s="139">
        <f t="shared" si="4"/>
        <v>40141036</v>
      </c>
      <c r="H27" s="139">
        <f t="shared" si="4"/>
        <v>0</v>
      </c>
      <c r="I27" s="139">
        <f t="shared" si="4"/>
        <v>0</v>
      </c>
      <c r="J27" s="139">
        <f t="shared" si="4"/>
        <v>0</v>
      </c>
      <c r="K27" s="139">
        <f t="shared" si="4"/>
        <v>1569721</v>
      </c>
      <c r="L27" s="139">
        <f t="shared" si="4"/>
        <v>0</v>
      </c>
      <c r="M27" s="139">
        <f t="shared" si="4"/>
        <v>0</v>
      </c>
      <c r="N27" s="139">
        <f t="shared" si="4"/>
        <v>0</v>
      </c>
      <c r="O27" s="139">
        <f t="shared" si="4"/>
        <v>0</v>
      </c>
      <c r="P27" s="139">
        <f t="shared" si="4"/>
        <v>0</v>
      </c>
      <c r="Q27" s="139">
        <f t="shared" si="4"/>
        <v>0</v>
      </c>
      <c r="R27" s="139">
        <f t="shared" si="4"/>
        <v>3990145</v>
      </c>
      <c r="S27" s="139">
        <f t="shared" si="4"/>
        <v>2027193</v>
      </c>
      <c r="T27" s="139">
        <f t="shared" si="4"/>
        <v>1962952</v>
      </c>
      <c r="U27" s="139">
        <f t="shared" si="4"/>
        <v>0</v>
      </c>
    </row>
    <row r="28" spans="1:21" ht="18.75">
      <c r="A28" s="136" t="s">
        <v>7</v>
      </c>
      <c r="B28" s="143"/>
      <c r="C28" s="143"/>
      <c r="D28" s="143"/>
      <c r="E28" s="138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</row>
    <row r="29" spans="1:21" ht="18.75">
      <c r="A29" s="136"/>
      <c r="B29" s="143"/>
      <c r="C29" s="143"/>
      <c r="D29" s="143"/>
      <c r="E29" s="141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</row>
    <row r="30" spans="1:21" ht="18.75">
      <c r="A30" s="136" t="s">
        <v>64</v>
      </c>
      <c r="B30" s="140">
        <v>210</v>
      </c>
      <c r="C30" s="140">
        <v>210</v>
      </c>
      <c r="D30" s="140"/>
      <c r="E30" s="138"/>
      <c r="F30" s="139">
        <f>F32</f>
        <v>43357260</v>
      </c>
      <c r="G30" s="139">
        <f aca="true" t="shared" si="5" ref="G30:U30">G32</f>
        <v>39548650</v>
      </c>
      <c r="H30" s="139">
        <f t="shared" si="5"/>
        <v>0</v>
      </c>
      <c r="I30" s="139">
        <f t="shared" si="5"/>
        <v>0</v>
      </c>
      <c r="J30" s="139">
        <f t="shared" si="5"/>
        <v>0</v>
      </c>
      <c r="K30" s="139">
        <f t="shared" si="5"/>
        <v>1569721</v>
      </c>
      <c r="L30" s="139">
        <f t="shared" si="5"/>
        <v>0</v>
      </c>
      <c r="M30" s="139">
        <f t="shared" si="5"/>
        <v>0</v>
      </c>
      <c r="N30" s="139">
        <f t="shared" si="5"/>
        <v>0</v>
      </c>
      <c r="O30" s="139">
        <f t="shared" si="5"/>
        <v>0</v>
      </c>
      <c r="P30" s="139">
        <f t="shared" si="5"/>
        <v>0</v>
      </c>
      <c r="Q30" s="139">
        <f t="shared" si="5"/>
        <v>0</v>
      </c>
      <c r="R30" s="139">
        <f t="shared" si="5"/>
        <v>2238889</v>
      </c>
      <c r="S30" s="139">
        <f t="shared" si="5"/>
        <v>1019697</v>
      </c>
      <c r="T30" s="139">
        <f t="shared" si="5"/>
        <v>1219192</v>
      </c>
      <c r="U30" s="139">
        <f t="shared" si="5"/>
        <v>0</v>
      </c>
    </row>
    <row r="31" spans="1:21" ht="18.75">
      <c r="A31" s="136" t="s">
        <v>6</v>
      </c>
      <c r="B31" s="140"/>
      <c r="C31" s="140"/>
      <c r="D31" s="140"/>
      <c r="E31" s="138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</row>
    <row r="32" spans="1:21" ht="18.75">
      <c r="A32" s="136" t="s">
        <v>65</v>
      </c>
      <c r="B32" s="140">
        <v>211</v>
      </c>
      <c r="C32" s="140">
        <v>210</v>
      </c>
      <c r="D32" s="140"/>
      <c r="E32" s="141"/>
      <c r="F32" s="139">
        <f>F34+F35+F36+F37+F38</f>
        <v>43357260</v>
      </c>
      <c r="G32" s="139">
        <f>G34+G36+G38</f>
        <v>39548650</v>
      </c>
      <c r="H32" s="139">
        <f>H34+H36+H38</f>
        <v>0</v>
      </c>
      <c r="I32" s="139">
        <f>I35+I37</f>
        <v>0</v>
      </c>
      <c r="J32" s="139">
        <f>J35+J37</f>
        <v>0</v>
      </c>
      <c r="K32" s="139">
        <f aca="true" t="shared" si="6" ref="K32:U32">K34+K36+K38</f>
        <v>1569721</v>
      </c>
      <c r="L32" s="139">
        <f t="shared" si="6"/>
        <v>0</v>
      </c>
      <c r="M32" s="139">
        <f t="shared" si="6"/>
        <v>0</v>
      </c>
      <c r="N32" s="139">
        <f t="shared" si="6"/>
        <v>0</v>
      </c>
      <c r="O32" s="139">
        <f t="shared" si="6"/>
        <v>0</v>
      </c>
      <c r="P32" s="139">
        <f t="shared" si="6"/>
        <v>0</v>
      </c>
      <c r="Q32" s="139">
        <f t="shared" si="6"/>
        <v>0</v>
      </c>
      <c r="R32" s="139">
        <f t="shared" si="6"/>
        <v>2238889</v>
      </c>
      <c r="S32" s="139">
        <f t="shared" si="6"/>
        <v>1019697</v>
      </c>
      <c r="T32" s="139">
        <f t="shared" si="6"/>
        <v>1219192</v>
      </c>
      <c r="U32" s="139">
        <f t="shared" si="6"/>
        <v>0</v>
      </c>
    </row>
    <row r="33" spans="1:21" ht="18.75">
      <c r="A33" s="136" t="s">
        <v>6</v>
      </c>
      <c r="B33" s="140"/>
      <c r="C33" s="189"/>
      <c r="D33" s="140"/>
      <c r="E33" s="141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ht="18.75">
      <c r="A34" s="136" t="s">
        <v>66</v>
      </c>
      <c r="B34" s="140">
        <v>212</v>
      </c>
      <c r="C34" s="190" t="s">
        <v>269</v>
      </c>
      <c r="D34" s="189" t="s">
        <v>287</v>
      </c>
      <c r="E34" s="141"/>
      <c r="F34" s="139">
        <f>G34+H34+I34+Q34+R34</f>
        <v>33110478.89</v>
      </c>
      <c r="G34" s="139">
        <v>30372542</v>
      </c>
      <c r="H34" s="139"/>
      <c r="I34" s="139">
        <f>J34+K34+L34+M34+N34+O34+P34</f>
        <v>1205622.89</v>
      </c>
      <c r="J34" s="139"/>
      <c r="K34" s="139">
        <v>1205622.89</v>
      </c>
      <c r="L34" s="139"/>
      <c r="M34" s="139"/>
      <c r="N34" s="139"/>
      <c r="O34" s="139"/>
      <c r="P34" s="139"/>
      <c r="Q34" s="139"/>
      <c r="R34" s="139">
        <f>S34+T34+U34</f>
        <v>1532314</v>
      </c>
      <c r="S34" s="139">
        <v>778492</v>
      </c>
      <c r="T34" s="139">
        <v>753822</v>
      </c>
      <c r="U34" s="139"/>
    </row>
    <row r="35" spans="1:21" ht="18.75">
      <c r="A35" s="136" t="s">
        <v>66</v>
      </c>
      <c r="B35" s="140"/>
      <c r="C35" s="190" t="s">
        <v>270</v>
      </c>
      <c r="D35" s="189" t="s">
        <v>287</v>
      </c>
      <c r="E35" s="141"/>
      <c r="F35" s="139">
        <f>G35+H35+I35+Q35+R35</f>
        <v>0</v>
      </c>
      <c r="G35" s="139"/>
      <c r="H35" s="139"/>
      <c r="I35" s="139">
        <f>J35+K35+L35+M35+N35+O35+P35</f>
        <v>0</v>
      </c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</row>
    <row r="36" spans="1:21" ht="18.75">
      <c r="A36" s="136" t="s">
        <v>13</v>
      </c>
      <c r="B36" s="140">
        <v>213</v>
      </c>
      <c r="C36" s="190" t="s">
        <v>271</v>
      </c>
      <c r="D36" s="189" t="s">
        <v>287</v>
      </c>
      <c r="E36" s="141"/>
      <c r="F36" s="139">
        <f aca="true" t="shared" si="7" ref="F36:F74">G36+H36+I36+Q36+R36</f>
        <v>9999365.11</v>
      </c>
      <c r="G36" s="139">
        <v>9172508</v>
      </c>
      <c r="H36" s="139"/>
      <c r="I36" s="139">
        <f>J36+K36+L36+M36+N36+O36+P36</f>
        <v>364098.11</v>
      </c>
      <c r="J36" s="139"/>
      <c r="K36" s="139">
        <v>364098.11</v>
      </c>
      <c r="L36" s="139"/>
      <c r="M36" s="139"/>
      <c r="N36" s="139"/>
      <c r="O36" s="139"/>
      <c r="P36" s="139"/>
      <c r="Q36" s="139"/>
      <c r="R36" s="139">
        <f>S36+T36+U36</f>
        <v>462759</v>
      </c>
      <c r="S36" s="139">
        <v>235105</v>
      </c>
      <c r="T36" s="139">
        <v>227654</v>
      </c>
      <c r="U36" s="139"/>
    </row>
    <row r="37" spans="1:21" ht="18.75">
      <c r="A37" s="136" t="s">
        <v>13</v>
      </c>
      <c r="B37" s="140"/>
      <c r="C37" s="190" t="s">
        <v>272</v>
      </c>
      <c r="D37" s="189" t="s">
        <v>287</v>
      </c>
      <c r="E37" s="141"/>
      <c r="F37" s="139">
        <f t="shared" si="7"/>
        <v>0</v>
      </c>
      <c r="G37" s="139"/>
      <c r="H37" s="139"/>
      <c r="I37" s="139">
        <f>J37+K37+L37+M37+N37+O37+P37</f>
        <v>0</v>
      </c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</row>
    <row r="38" spans="1:21" ht="18.75">
      <c r="A38" s="136" t="s">
        <v>12</v>
      </c>
      <c r="B38" s="140">
        <v>214</v>
      </c>
      <c r="C38" s="190" t="s">
        <v>273</v>
      </c>
      <c r="D38" s="189" t="s">
        <v>292</v>
      </c>
      <c r="E38" s="138"/>
      <c r="F38" s="139">
        <f t="shared" si="7"/>
        <v>247416</v>
      </c>
      <c r="G38" s="139">
        <v>3600</v>
      </c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>
        <f>S38+T38+U38</f>
        <v>243816</v>
      </c>
      <c r="S38" s="139">
        <v>6100</v>
      </c>
      <c r="T38" s="139">
        <v>237716</v>
      </c>
      <c r="U38" s="139"/>
    </row>
    <row r="39" spans="1:21" ht="18.75">
      <c r="A39" s="136" t="s">
        <v>67</v>
      </c>
      <c r="B39" s="140">
        <v>220</v>
      </c>
      <c r="C39" s="189">
        <v>260</v>
      </c>
      <c r="D39" s="189"/>
      <c r="E39" s="138"/>
      <c r="F39" s="139">
        <f t="shared" si="7"/>
        <v>0</v>
      </c>
      <c r="G39" s="139">
        <f aca="true" t="shared" si="8" ref="G39:U39">G41+G42</f>
        <v>0</v>
      </c>
      <c r="H39" s="139">
        <f t="shared" si="8"/>
        <v>0</v>
      </c>
      <c r="I39" s="139">
        <f t="shared" si="8"/>
        <v>0</v>
      </c>
      <c r="J39" s="139">
        <f t="shared" si="8"/>
        <v>0</v>
      </c>
      <c r="K39" s="139">
        <f t="shared" si="8"/>
        <v>0</v>
      </c>
      <c r="L39" s="139">
        <f t="shared" si="8"/>
        <v>0</v>
      </c>
      <c r="M39" s="139">
        <f t="shared" si="8"/>
        <v>0</v>
      </c>
      <c r="N39" s="139">
        <f t="shared" si="8"/>
        <v>0</v>
      </c>
      <c r="O39" s="139">
        <f t="shared" si="8"/>
        <v>0</v>
      </c>
      <c r="P39" s="139">
        <f t="shared" si="8"/>
        <v>0</v>
      </c>
      <c r="Q39" s="139">
        <f t="shared" si="8"/>
        <v>0</v>
      </c>
      <c r="R39" s="139">
        <f t="shared" si="8"/>
        <v>0</v>
      </c>
      <c r="S39" s="139">
        <f t="shared" si="8"/>
        <v>0</v>
      </c>
      <c r="T39" s="139">
        <f t="shared" si="8"/>
        <v>0</v>
      </c>
      <c r="U39" s="139">
        <f t="shared" si="8"/>
        <v>0</v>
      </c>
    </row>
    <row r="40" spans="1:21" ht="18.75">
      <c r="A40" s="136" t="s">
        <v>6</v>
      </c>
      <c r="B40" s="140"/>
      <c r="C40" s="189"/>
      <c r="D40" s="189"/>
      <c r="E40" s="138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</row>
    <row r="41" spans="1:21" ht="18.75">
      <c r="A41" s="136"/>
      <c r="B41" s="140">
        <v>221</v>
      </c>
      <c r="C41" s="189"/>
      <c r="D41" s="189"/>
      <c r="E41" s="138"/>
      <c r="F41" s="139">
        <f t="shared" si="7"/>
        <v>0</v>
      </c>
      <c r="G41" s="139"/>
      <c r="H41" s="139"/>
      <c r="I41" s="139">
        <f>J41+K41+L41+M41+N41+O41+P41</f>
        <v>0</v>
      </c>
      <c r="J41" s="139"/>
      <c r="K41" s="139"/>
      <c r="L41" s="139"/>
      <c r="M41" s="139"/>
      <c r="N41" s="139"/>
      <c r="O41" s="139"/>
      <c r="P41" s="139"/>
      <c r="Q41" s="139"/>
      <c r="R41" s="139">
        <f>S41+T41+U41</f>
        <v>0</v>
      </c>
      <c r="S41" s="139"/>
      <c r="T41" s="139"/>
      <c r="U41" s="139"/>
    </row>
    <row r="42" spans="1:21" ht="18.75">
      <c r="A42" s="136"/>
      <c r="B42" s="140">
        <v>222</v>
      </c>
      <c r="C42" s="189"/>
      <c r="D42" s="189"/>
      <c r="E42" s="138"/>
      <c r="F42" s="139">
        <f t="shared" si="7"/>
        <v>0</v>
      </c>
      <c r="G42" s="139"/>
      <c r="H42" s="139"/>
      <c r="I42" s="139">
        <f>J42+K42+L42+M42+N42+O42+P42</f>
        <v>0</v>
      </c>
      <c r="J42" s="139"/>
      <c r="K42" s="139"/>
      <c r="L42" s="139"/>
      <c r="M42" s="139"/>
      <c r="N42" s="139"/>
      <c r="O42" s="139"/>
      <c r="P42" s="139"/>
      <c r="Q42" s="139"/>
      <c r="R42" s="139">
        <f>S42+T42+U42</f>
        <v>0</v>
      </c>
      <c r="S42" s="139"/>
      <c r="T42" s="139"/>
      <c r="U42" s="139"/>
    </row>
    <row r="43" spans="1:21" ht="18.75">
      <c r="A43" s="136" t="s">
        <v>311</v>
      </c>
      <c r="B43" s="140">
        <v>230</v>
      </c>
      <c r="C43" s="189">
        <v>291</v>
      </c>
      <c r="D43" s="189"/>
      <c r="E43" s="141"/>
      <c r="F43" s="139">
        <f t="shared" si="7"/>
        <v>26856</v>
      </c>
      <c r="G43" s="139">
        <f>G45+G46+G47</f>
        <v>16466</v>
      </c>
      <c r="H43" s="139">
        <f aca="true" t="shared" si="9" ref="H43:Q43">H45+H48</f>
        <v>0</v>
      </c>
      <c r="I43" s="139">
        <f t="shared" si="9"/>
        <v>0</v>
      </c>
      <c r="J43" s="139">
        <f t="shared" si="9"/>
        <v>0</v>
      </c>
      <c r="K43" s="139">
        <f t="shared" si="9"/>
        <v>0</v>
      </c>
      <c r="L43" s="139">
        <f t="shared" si="9"/>
        <v>0</v>
      </c>
      <c r="M43" s="139">
        <f t="shared" si="9"/>
        <v>0</v>
      </c>
      <c r="N43" s="139">
        <f t="shared" si="9"/>
        <v>0</v>
      </c>
      <c r="O43" s="139">
        <f t="shared" si="9"/>
        <v>0</v>
      </c>
      <c r="P43" s="139">
        <f t="shared" si="9"/>
        <v>0</v>
      </c>
      <c r="Q43" s="139">
        <f t="shared" si="9"/>
        <v>0</v>
      </c>
      <c r="R43" s="139">
        <f>R45+R46+R47+R48</f>
        <v>10390</v>
      </c>
      <c r="S43" s="139">
        <f>S45+S46+S47+S48</f>
        <v>0</v>
      </c>
      <c r="T43" s="139">
        <f>T45+T46+T47+T48</f>
        <v>10390</v>
      </c>
      <c r="U43" s="139">
        <f>U45+U48</f>
        <v>0</v>
      </c>
    </row>
    <row r="44" spans="1:21" ht="18.75">
      <c r="A44" s="136" t="s">
        <v>6</v>
      </c>
      <c r="B44" s="140"/>
      <c r="C44" s="189"/>
      <c r="D44" s="189"/>
      <c r="E44" s="138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</row>
    <row r="45" spans="1:21" ht="18.75">
      <c r="A45" s="136" t="s">
        <v>69</v>
      </c>
      <c r="B45" s="140">
        <v>231</v>
      </c>
      <c r="C45" s="190" t="s">
        <v>274</v>
      </c>
      <c r="D45" s="189" t="s">
        <v>289</v>
      </c>
      <c r="E45" s="138"/>
      <c r="F45" s="139">
        <f t="shared" si="7"/>
        <v>10307</v>
      </c>
      <c r="G45" s="139">
        <v>5307</v>
      </c>
      <c r="H45" s="139"/>
      <c r="I45" s="139">
        <f>J45+K45+L45+M45+N45+O45+P45</f>
        <v>0</v>
      </c>
      <c r="J45" s="139"/>
      <c r="K45" s="139"/>
      <c r="L45" s="139"/>
      <c r="M45" s="139"/>
      <c r="N45" s="139"/>
      <c r="O45" s="139"/>
      <c r="P45" s="139"/>
      <c r="Q45" s="139"/>
      <c r="R45" s="139">
        <v>5000</v>
      </c>
      <c r="S45" s="139"/>
      <c r="T45" s="139"/>
      <c r="U45" s="139"/>
    </row>
    <row r="46" spans="1:21" ht="18.75">
      <c r="A46" s="136" t="s">
        <v>69</v>
      </c>
      <c r="B46" s="140"/>
      <c r="C46" s="190" t="s">
        <v>275</v>
      </c>
      <c r="D46" s="189" t="s">
        <v>290</v>
      </c>
      <c r="E46" s="138"/>
      <c r="F46" s="139">
        <f t="shared" si="7"/>
        <v>11159</v>
      </c>
      <c r="G46" s="139">
        <v>11159</v>
      </c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>
        <v>0</v>
      </c>
      <c r="S46" s="139"/>
      <c r="T46" s="139">
        <v>5000</v>
      </c>
      <c r="U46" s="139"/>
    </row>
    <row r="47" spans="1:21" ht="18.75">
      <c r="A47" s="136" t="s">
        <v>69</v>
      </c>
      <c r="B47" s="140"/>
      <c r="C47" s="190" t="s">
        <v>277</v>
      </c>
      <c r="D47" s="189" t="s">
        <v>299</v>
      </c>
      <c r="E47" s="138"/>
      <c r="F47" s="139">
        <f t="shared" si="7"/>
        <v>5390</v>
      </c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>
        <f>S47+T47+U47</f>
        <v>5390</v>
      </c>
      <c r="S47" s="139"/>
      <c r="T47" s="139">
        <v>5390</v>
      </c>
      <c r="U47" s="139"/>
    </row>
    <row r="48" spans="1:21" ht="18.75">
      <c r="A48" s="136"/>
      <c r="B48" s="140">
        <v>232</v>
      </c>
      <c r="C48" s="189"/>
      <c r="D48" s="189"/>
      <c r="E48" s="138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>
        <f>S48+T48+U48</f>
        <v>0</v>
      </c>
      <c r="S48" s="139"/>
      <c r="T48" s="139"/>
      <c r="U48" s="139"/>
    </row>
    <row r="49" spans="1:21" ht="18.75">
      <c r="A49" s="136" t="s">
        <v>14</v>
      </c>
      <c r="B49" s="140">
        <v>240</v>
      </c>
      <c r="C49" s="189" t="s">
        <v>286</v>
      </c>
      <c r="D49" s="189"/>
      <c r="E49" s="138"/>
      <c r="F49" s="139">
        <f t="shared" si="7"/>
        <v>0</v>
      </c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>
        <f>S49+T49+U49</f>
        <v>0</v>
      </c>
      <c r="S49" s="139"/>
      <c r="T49" s="139"/>
      <c r="U49" s="139"/>
    </row>
    <row r="50" spans="1:21" ht="18.75">
      <c r="A50" s="136" t="s">
        <v>70</v>
      </c>
      <c r="B50" s="140">
        <v>250</v>
      </c>
      <c r="C50" s="189" t="s">
        <v>285</v>
      </c>
      <c r="D50" s="189"/>
      <c r="E50" s="138"/>
      <c r="F50" s="139">
        <f t="shared" si="7"/>
        <v>0</v>
      </c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>
        <f>S50+T50+U50</f>
        <v>0</v>
      </c>
      <c r="S50" s="139"/>
      <c r="T50" s="139"/>
      <c r="U50" s="139"/>
    </row>
    <row r="51" spans="1:21" ht="18.75">
      <c r="A51" s="136" t="s">
        <v>61</v>
      </c>
      <c r="B51" s="140"/>
      <c r="C51" s="189"/>
      <c r="D51" s="189"/>
      <c r="E51" s="138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1:21" ht="18.75">
      <c r="A52" s="136" t="s">
        <v>267</v>
      </c>
      <c r="B52" s="140">
        <v>251</v>
      </c>
      <c r="C52" s="189"/>
      <c r="D52" s="189"/>
      <c r="E52" s="138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</row>
    <row r="53" spans="1:21" ht="18.75">
      <c r="A53" s="136" t="s">
        <v>268</v>
      </c>
      <c r="B53" s="140">
        <v>252</v>
      </c>
      <c r="C53" s="189"/>
      <c r="D53" s="189"/>
      <c r="E53" s="138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</row>
    <row r="54" spans="1:21" ht="18.75">
      <c r="A54" s="136"/>
      <c r="B54" s="140">
        <v>253</v>
      </c>
      <c r="C54" s="189"/>
      <c r="D54" s="189"/>
      <c r="E54" s="138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</row>
    <row r="55" spans="1:21" ht="18.75">
      <c r="A55" s="136" t="s">
        <v>71</v>
      </c>
      <c r="B55" s="140">
        <v>260</v>
      </c>
      <c r="C55" s="189" t="s">
        <v>62</v>
      </c>
      <c r="D55" s="189"/>
      <c r="E55" s="138"/>
      <c r="F55" s="139">
        <f t="shared" si="7"/>
        <v>2316786</v>
      </c>
      <c r="G55" s="139">
        <f>G57+G58+G59+G60+G61+G62+G63+G64</f>
        <v>575920</v>
      </c>
      <c r="H55" s="139"/>
      <c r="I55" s="139">
        <f>J55+K55+L55+M55+N55+O55+P55</f>
        <v>0</v>
      </c>
      <c r="J55" s="139"/>
      <c r="K55" s="139"/>
      <c r="L55" s="139"/>
      <c r="M55" s="139"/>
      <c r="N55" s="139"/>
      <c r="O55" s="139"/>
      <c r="P55" s="139"/>
      <c r="Q55" s="139"/>
      <c r="R55" s="139">
        <f>S55+T55+U55</f>
        <v>1740866</v>
      </c>
      <c r="S55" s="139">
        <f>S57+S58+S59+S60+S61+S62+S63+S64</f>
        <v>1007496</v>
      </c>
      <c r="T55" s="139">
        <f>T57+T58+T59+T60+T61+T62+T63+T64</f>
        <v>733370</v>
      </c>
      <c r="U55" s="139"/>
    </row>
    <row r="56" spans="1:21" ht="18.75">
      <c r="A56" s="136" t="s">
        <v>61</v>
      </c>
      <c r="B56" s="140"/>
      <c r="C56" s="189"/>
      <c r="D56" s="189"/>
      <c r="E56" s="138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</row>
    <row r="57" spans="1:21" ht="18.75">
      <c r="A57" s="136" t="s">
        <v>72</v>
      </c>
      <c r="B57" s="140">
        <v>261</v>
      </c>
      <c r="C57" s="190" t="s">
        <v>276</v>
      </c>
      <c r="D57" s="189" t="s">
        <v>291</v>
      </c>
      <c r="E57" s="141"/>
      <c r="F57" s="139">
        <f t="shared" si="7"/>
        <v>142644</v>
      </c>
      <c r="G57" s="139">
        <v>125500</v>
      </c>
      <c r="H57" s="139"/>
      <c r="I57" s="139">
        <f>J57+K57+L57+M57+N57+O57+P57</f>
        <v>0</v>
      </c>
      <c r="J57" s="139"/>
      <c r="K57" s="139"/>
      <c r="L57" s="139"/>
      <c r="M57" s="139"/>
      <c r="N57" s="139"/>
      <c r="O57" s="139"/>
      <c r="P57" s="139"/>
      <c r="Q57" s="139"/>
      <c r="R57" s="139">
        <f aca="true" t="shared" si="10" ref="R57:R64">S57+T57+U57</f>
        <v>17144</v>
      </c>
      <c r="S57" s="139">
        <v>17144</v>
      </c>
      <c r="T57" s="139"/>
      <c r="U57" s="139"/>
    </row>
    <row r="58" spans="1:21" ht="18.75">
      <c r="A58" s="136" t="s">
        <v>73</v>
      </c>
      <c r="B58" s="140">
        <v>262</v>
      </c>
      <c r="C58" s="190" t="s">
        <v>278</v>
      </c>
      <c r="D58" s="189" t="s">
        <v>296</v>
      </c>
      <c r="E58" s="138"/>
      <c r="F58" s="139">
        <f t="shared" si="7"/>
        <v>0</v>
      </c>
      <c r="G58" s="139"/>
      <c r="H58" s="139"/>
      <c r="I58" s="139">
        <f aca="true" t="shared" si="11" ref="I58:I64">J58+K58+L58+M58+N58+O58+P58</f>
        <v>0</v>
      </c>
      <c r="J58" s="139"/>
      <c r="K58" s="139"/>
      <c r="L58" s="139"/>
      <c r="M58" s="139"/>
      <c r="N58" s="139"/>
      <c r="O58" s="139"/>
      <c r="P58" s="139"/>
      <c r="Q58" s="139"/>
      <c r="R58" s="139">
        <f t="shared" si="10"/>
        <v>0</v>
      </c>
      <c r="S58" s="139"/>
      <c r="T58" s="139"/>
      <c r="U58" s="139"/>
    </row>
    <row r="59" spans="1:21" ht="18.75">
      <c r="A59" s="136" t="s">
        <v>74</v>
      </c>
      <c r="B59" s="140">
        <v>263</v>
      </c>
      <c r="C59" s="190" t="s">
        <v>279</v>
      </c>
      <c r="D59" s="189" t="s">
        <v>288</v>
      </c>
      <c r="E59" s="138"/>
      <c r="F59" s="139">
        <f t="shared" si="7"/>
        <v>349950</v>
      </c>
      <c r="G59" s="139">
        <v>349950</v>
      </c>
      <c r="H59" s="139"/>
      <c r="I59" s="139">
        <f t="shared" si="11"/>
        <v>0</v>
      </c>
      <c r="J59" s="139"/>
      <c r="K59" s="139"/>
      <c r="L59" s="139"/>
      <c r="M59" s="139"/>
      <c r="N59" s="139"/>
      <c r="O59" s="139"/>
      <c r="P59" s="139"/>
      <c r="Q59" s="139"/>
      <c r="R59" s="139">
        <f t="shared" si="10"/>
        <v>0</v>
      </c>
      <c r="S59" s="139"/>
      <c r="T59" s="139"/>
      <c r="U59" s="139"/>
    </row>
    <row r="60" spans="1:21" ht="18.75">
      <c r="A60" s="136" t="s">
        <v>75</v>
      </c>
      <c r="B60" s="140">
        <v>264</v>
      </c>
      <c r="C60" s="190" t="s">
        <v>280</v>
      </c>
      <c r="D60" s="189" t="s">
        <v>293</v>
      </c>
      <c r="E60" s="141"/>
      <c r="F60" s="139">
        <f t="shared" si="7"/>
        <v>0</v>
      </c>
      <c r="G60" s="139"/>
      <c r="H60" s="139"/>
      <c r="I60" s="139">
        <f t="shared" si="11"/>
        <v>0</v>
      </c>
      <c r="J60" s="139"/>
      <c r="K60" s="139"/>
      <c r="L60" s="139"/>
      <c r="M60" s="139"/>
      <c r="N60" s="139"/>
      <c r="O60" s="139"/>
      <c r="P60" s="139"/>
      <c r="Q60" s="139"/>
      <c r="R60" s="139">
        <f t="shared" si="10"/>
        <v>0</v>
      </c>
      <c r="S60" s="139"/>
      <c r="T60" s="139"/>
      <c r="U60" s="139"/>
    </row>
    <row r="61" spans="1:21" ht="18.75">
      <c r="A61" s="136" t="s">
        <v>76</v>
      </c>
      <c r="B61" s="140">
        <v>265</v>
      </c>
      <c r="C61" s="190" t="s">
        <v>281</v>
      </c>
      <c r="D61" s="189" t="s">
        <v>294</v>
      </c>
      <c r="E61" s="138"/>
      <c r="F61" s="139">
        <f t="shared" si="7"/>
        <v>480644</v>
      </c>
      <c r="G61" s="139"/>
      <c r="H61" s="139"/>
      <c r="I61" s="139">
        <f t="shared" si="11"/>
        <v>0</v>
      </c>
      <c r="J61" s="139"/>
      <c r="K61" s="139"/>
      <c r="L61" s="139"/>
      <c r="M61" s="139"/>
      <c r="N61" s="139"/>
      <c r="O61" s="139"/>
      <c r="P61" s="139"/>
      <c r="Q61" s="139"/>
      <c r="R61" s="139">
        <f t="shared" si="10"/>
        <v>480644</v>
      </c>
      <c r="S61" s="139">
        <v>225139</v>
      </c>
      <c r="T61" s="139">
        <v>255505</v>
      </c>
      <c r="U61" s="139"/>
    </row>
    <row r="62" spans="1:21" ht="18.75">
      <c r="A62" s="136" t="s">
        <v>165</v>
      </c>
      <c r="B62" s="140">
        <v>266</v>
      </c>
      <c r="C62" s="190" t="s">
        <v>282</v>
      </c>
      <c r="D62" s="189" t="s">
        <v>295</v>
      </c>
      <c r="E62" s="138"/>
      <c r="F62" s="139">
        <f t="shared" si="7"/>
        <v>335821</v>
      </c>
      <c r="G62" s="139"/>
      <c r="H62" s="139"/>
      <c r="I62" s="139">
        <f t="shared" si="11"/>
        <v>0</v>
      </c>
      <c r="J62" s="139"/>
      <c r="K62" s="139"/>
      <c r="L62" s="139"/>
      <c r="M62" s="139"/>
      <c r="N62" s="139"/>
      <c r="O62" s="139"/>
      <c r="P62" s="139"/>
      <c r="Q62" s="139"/>
      <c r="R62" s="139">
        <f t="shared" si="10"/>
        <v>335821</v>
      </c>
      <c r="S62" s="139">
        <v>278523</v>
      </c>
      <c r="T62" s="139">
        <v>57298</v>
      </c>
      <c r="U62" s="139"/>
    </row>
    <row r="63" spans="1:21" ht="18.75">
      <c r="A63" s="136" t="s">
        <v>166</v>
      </c>
      <c r="B63" s="140">
        <v>267</v>
      </c>
      <c r="C63" s="190" t="s">
        <v>283</v>
      </c>
      <c r="D63" s="189" t="s">
        <v>297</v>
      </c>
      <c r="E63" s="138"/>
      <c r="F63" s="139">
        <f t="shared" si="7"/>
        <v>207800</v>
      </c>
      <c r="G63" s="139"/>
      <c r="H63" s="139"/>
      <c r="I63" s="139">
        <f t="shared" si="11"/>
        <v>0</v>
      </c>
      <c r="J63" s="139"/>
      <c r="K63" s="139"/>
      <c r="L63" s="139"/>
      <c r="M63" s="139"/>
      <c r="N63" s="139"/>
      <c r="O63" s="139"/>
      <c r="P63" s="139"/>
      <c r="Q63" s="139"/>
      <c r="R63" s="139">
        <f t="shared" si="10"/>
        <v>207800</v>
      </c>
      <c r="S63" s="139">
        <v>103900</v>
      </c>
      <c r="T63" s="139">
        <v>103900</v>
      </c>
      <c r="U63" s="139"/>
    </row>
    <row r="64" spans="1:21" ht="18.75">
      <c r="A64" s="136" t="s">
        <v>167</v>
      </c>
      <c r="B64" s="140">
        <v>268</v>
      </c>
      <c r="C64" s="190" t="s">
        <v>284</v>
      </c>
      <c r="D64" s="189" t="s">
        <v>298</v>
      </c>
      <c r="E64" s="138"/>
      <c r="F64" s="139">
        <f t="shared" si="7"/>
        <v>799927</v>
      </c>
      <c r="G64" s="139">
        <v>100470</v>
      </c>
      <c r="H64" s="139"/>
      <c r="I64" s="139">
        <f t="shared" si="11"/>
        <v>0</v>
      </c>
      <c r="J64" s="139"/>
      <c r="K64" s="139"/>
      <c r="L64" s="139"/>
      <c r="M64" s="139"/>
      <c r="N64" s="139"/>
      <c r="O64" s="139"/>
      <c r="P64" s="139"/>
      <c r="Q64" s="139"/>
      <c r="R64" s="139">
        <f t="shared" si="10"/>
        <v>699457</v>
      </c>
      <c r="S64" s="139">
        <v>382790</v>
      </c>
      <c r="T64" s="139">
        <v>316667</v>
      </c>
      <c r="U64" s="139"/>
    </row>
    <row r="65" spans="1:21" ht="18.75">
      <c r="A65" s="136" t="s">
        <v>77</v>
      </c>
      <c r="B65" s="140">
        <v>300</v>
      </c>
      <c r="C65" s="189" t="s">
        <v>62</v>
      </c>
      <c r="D65" s="189"/>
      <c r="E65" s="138"/>
      <c r="F65" s="139">
        <f t="shared" si="7"/>
        <v>45700902</v>
      </c>
      <c r="G65" s="139">
        <f aca="true" t="shared" si="12" ref="G65:U65">G67+G68</f>
        <v>40141036</v>
      </c>
      <c r="H65" s="139">
        <f t="shared" si="12"/>
        <v>0</v>
      </c>
      <c r="I65" s="139">
        <f t="shared" si="12"/>
        <v>1569721</v>
      </c>
      <c r="J65" s="139">
        <f t="shared" si="12"/>
        <v>0</v>
      </c>
      <c r="K65" s="139">
        <f t="shared" si="12"/>
        <v>1569721</v>
      </c>
      <c r="L65" s="139">
        <f t="shared" si="12"/>
        <v>0</v>
      </c>
      <c r="M65" s="139">
        <f t="shared" si="12"/>
        <v>0</v>
      </c>
      <c r="N65" s="139">
        <f t="shared" si="12"/>
        <v>0</v>
      </c>
      <c r="O65" s="139">
        <f t="shared" si="12"/>
        <v>0</v>
      </c>
      <c r="P65" s="139">
        <f t="shared" si="12"/>
        <v>0</v>
      </c>
      <c r="Q65" s="139">
        <f t="shared" si="12"/>
        <v>0</v>
      </c>
      <c r="R65" s="139">
        <f t="shared" si="12"/>
        <v>3990145</v>
      </c>
      <c r="S65" s="139">
        <f t="shared" si="12"/>
        <v>2027193</v>
      </c>
      <c r="T65" s="139">
        <f t="shared" si="12"/>
        <v>1962952</v>
      </c>
      <c r="U65" s="139">
        <f t="shared" si="12"/>
        <v>0</v>
      </c>
    </row>
    <row r="66" spans="1:21" ht="18.75">
      <c r="A66" s="136" t="s">
        <v>6</v>
      </c>
      <c r="B66" s="140"/>
      <c r="C66" s="189"/>
      <c r="D66" s="189"/>
      <c r="E66" s="138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</row>
    <row r="67" spans="1:21" ht="18.75">
      <c r="A67" s="136" t="s">
        <v>78</v>
      </c>
      <c r="B67" s="140">
        <v>310</v>
      </c>
      <c r="C67" s="189">
        <v>510</v>
      </c>
      <c r="D67" s="189"/>
      <c r="E67" s="141"/>
      <c r="F67" s="139">
        <f t="shared" si="7"/>
        <v>45700902</v>
      </c>
      <c r="G67" s="139">
        <f aca="true" t="shared" si="13" ref="G67:Q67">G9</f>
        <v>40141036</v>
      </c>
      <c r="H67" s="139">
        <f t="shared" si="13"/>
        <v>0</v>
      </c>
      <c r="I67" s="139">
        <f t="shared" si="13"/>
        <v>1569721</v>
      </c>
      <c r="J67" s="139">
        <f t="shared" si="13"/>
        <v>0</v>
      </c>
      <c r="K67" s="139">
        <f t="shared" si="13"/>
        <v>1569721</v>
      </c>
      <c r="L67" s="139">
        <f t="shared" si="13"/>
        <v>0</v>
      </c>
      <c r="M67" s="139">
        <f t="shared" si="13"/>
        <v>0</v>
      </c>
      <c r="N67" s="139">
        <f t="shared" si="13"/>
        <v>0</v>
      </c>
      <c r="O67" s="139">
        <f t="shared" si="13"/>
        <v>0</v>
      </c>
      <c r="P67" s="139">
        <f t="shared" si="13"/>
        <v>0</v>
      </c>
      <c r="Q67" s="139">
        <f t="shared" si="13"/>
        <v>0</v>
      </c>
      <c r="R67" s="139">
        <f>S67+T67+U67</f>
        <v>3990145</v>
      </c>
      <c r="S67" s="139">
        <f>S9</f>
        <v>2027193</v>
      </c>
      <c r="T67" s="139">
        <f>T9</f>
        <v>1962952</v>
      </c>
      <c r="U67" s="139"/>
    </row>
    <row r="68" spans="1:21" ht="18.75">
      <c r="A68" s="136" t="s">
        <v>100</v>
      </c>
      <c r="B68" s="140">
        <v>320</v>
      </c>
      <c r="C68" s="189"/>
      <c r="D68" s="189"/>
      <c r="E68" s="138"/>
      <c r="F68" s="139">
        <f t="shared" si="7"/>
        <v>0</v>
      </c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>
        <f>S68+T68+U68</f>
        <v>0</v>
      </c>
      <c r="S68" s="139"/>
      <c r="T68" s="139"/>
      <c r="U68" s="139"/>
    </row>
    <row r="69" spans="1:21" ht="18.75">
      <c r="A69" s="136" t="s">
        <v>79</v>
      </c>
      <c r="B69" s="140">
        <v>400</v>
      </c>
      <c r="C69" s="189"/>
      <c r="D69" s="189"/>
      <c r="E69" s="138"/>
      <c r="F69" s="139">
        <f t="shared" si="7"/>
        <v>44131181</v>
      </c>
      <c r="G69" s="139">
        <f aca="true" t="shared" si="14" ref="G69:U69">G71+G72</f>
        <v>40141036</v>
      </c>
      <c r="H69" s="139">
        <f t="shared" si="14"/>
        <v>0</v>
      </c>
      <c r="I69" s="139">
        <f t="shared" si="14"/>
        <v>0</v>
      </c>
      <c r="J69" s="139">
        <f t="shared" si="14"/>
        <v>0</v>
      </c>
      <c r="K69" s="139">
        <f t="shared" si="14"/>
        <v>1569721</v>
      </c>
      <c r="L69" s="139">
        <f t="shared" si="14"/>
        <v>0</v>
      </c>
      <c r="M69" s="139">
        <f t="shared" si="14"/>
        <v>0</v>
      </c>
      <c r="N69" s="139">
        <f t="shared" si="14"/>
        <v>0</v>
      </c>
      <c r="O69" s="139">
        <f t="shared" si="14"/>
        <v>0</v>
      </c>
      <c r="P69" s="139">
        <f t="shared" si="14"/>
        <v>0</v>
      </c>
      <c r="Q69" s="139">
        <f t="shared" si="14"/>
        <v>0</v>
      </c>
      <c r="R69" s="139">
        <f t="shared" si="14"/>
        <v>3990145</v>
      </c>
      <c r="S69" s="139">
        <f t="shared" si="14"/>
        <v>2027193</v>
      </c>
      <c r="T69" s="139">
        <f t="shared" si="14"/>
        <v>1962952</v>
      </c>
      <c r="U69" s="139">
        <f t="shared" si="14"/>
        <v>0</v>
      </c>
    </row>
    <row r="70" spans="1:21" ht="18.75">
      <c r="A70" s="136" t="s">
        <v>6</v>
      </c>
      <c r="B70" s="140"/>
      <c r="C70" s="189"/>
      <c r="D70" s="189"/>
      <c r="E70" s="138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</row>
    <row r="71" spans="1:21" ht="18.75">
      <c r="A71" s="136" t="s">
        <v>80</v>
      </c>
      <c r="B71" s="140">
        <v>410</v>
      </c>
      <c r="C71" s="189"/>
      <c r="D71" s="189"/>
      <c r="E71" s="138"/>
      <c r="F71" s="139">
        <f t="shared" si="7"/>
        <v>44131181</v>
      </c>
      <c r="G71" s="139">
        <f aca="true" t="shared" si="15" ref="G71:Q71">G27</f>
        <v>40141036</v>
      </c>
      <c r="H71" s="139">
        <f t="shared" si="15"/>
        <v>0</v>
      </c>
      <c r="I71" s="139">
        <f t="shared" si="15"/>
        <v>0</v>
      </c>
      <c r="J71" s="139">
        <f t="shared" si="15"/>
        <v>0</v>
      </c>
      <c r="K71" s="139">
        <f t="shared" si="15"/>
        <v>1569721</v>
      </c>
      <c r="L71" s="139">
        <f t="shared" si="15"/>
        <v>0</v>
      </c>
      <c r="M71" s="139">
        <f t="shared" si="15"/>
        <v>0</v>
      </c>
      <c r="N71" s="139">
        <f t="shared" si="15"/>
        <v>0</v>
      </c>
      <c r="O71" s="139">
        <f t="shared" si="15"/>
        <v>0</v>
      </c>
      <c r="P71" s="139">
        <f t="shared" si="15"/>
        <v>0</v>
      </c>
      <c r="Q71" s="139">
        <f t="shared" si="15"/>
        <v>0</v>
      </c>
      <c r="R71" s="139">
        <f>S71+T71+U71</f>
        <v>3990145</v>
      </c>
      <c r="S71" s="139">
        <f>S27</f>
        <v>2027193</v>
      </c>
      <c r="T71" s="139">
        <f>T27</f>
        <v>1962952</v>
      </c>
      <c r="U71" s="139"/>
    </row>
    <row r="72" spans="1:21" ht="18.75">
      <c r="A72" s="48" t="s">
        <v>81</v>
      </c>
      <c r="B72" s="140">
        <v>420</v>
      </c>
      <c r="C72" s="189"/>
      <c r="D72" s="189"/>
      <c r="E72" s="138"/>
      <c r="F72" s="139">
        <f t="shared" si="7"/>
        <v>0</v>
      </c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>
        <f>S72+T72+U72</f>
        <v>0</v>
      </c>
      <c r="S72" s="139"/>
      <c r="T72" s="139"/>
      <c r="U72" s="139"/>
    </row>
    <row r="73" spans="1:21" ht="18.75">
      <c r="A73" s="48" t="s">
        <v>82</v>
      </c>
      <c r="B73" s="140">
        <v>500</v>
      </c>
      <c r="C73" s="189" t="s">
        <v>62</v>
      </c>
      <c r="D73" s="189"/>
      <c r="E73" s="138"/>
      <c r="F73" s="139">
        <v>0</v>
      </c>
      <c r="G73" s="139">
        <v>0</v>
      </c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>
        <f>S73+T73+U73</f>
        <v>0</v>
      </c>
      <c r="S73" s="139">
        <v>0</v>
      </c>
      <c r="T73" s="139">
        <v>0</v>
      </c>
      <c r="U73" s="139"/>
    </row>
    <row r="74" spans="1:21" ht="18.75">
      <c r="A74" s="48" t="s">
        <v>83</v>
      </c>
      <c r="B74" s="140">
        <v>600</v>
      </c>
      <c r="C74" s="189" t="s">
        <v>62</v>
      </c>
      <c r="D74" s="189"/>
      <c r="E74" s="138"/>
      <c r="F74" s="139">
        <f t="shared" si="7"/>
        <v>1569721</v>
      </c>
      <c r="G74" s="139">
        <f aca="true" t="shared" si="16" ref="G74:Q74">G73+G9-G27</f>
        <v>0</v>
      </c>
      <c r="H74" s="139">
        <f t="shared" si="16"/>
        <v>0</v>
      </c>
      <c r="I74" s="139">
        <f t="shared" si="16"/>
        <v>1569721</v>
      </c>
      <c r="J74" s="139">
        <f t="shared" si="16"/>
        <v>0</v>
      </c>
      <c r="K74" s="139">
        <f t="shared" si="16"/>
        <v>0</v>
      </c>
      <c r="L74" s="139">
        <f t="shared" si="16"/>
        <v>0</v>
      </c>
      <c r="M74" s="139">
        <f t="shared" si="16"/>
        <v>0</v>
      </c>
      <c r="N74" s="139">
        <f t="shared" si="16"/>
        <v>0</v>
      </c>
      <c r="O74" s="139">
        <f t="shared" si="16"/>
        <v>0</v>
      </c>
      <c r="P74" s="139">
        <f t="shared" si="16"/>
        <v>0</v>
      </c>
      <c r="Q74" s="139">
        <f t="shared" si="16"/>
        <v>0</v>
      </c>
      <c r="R74" s="139">
        <f>S74+T74+U74</f>
        <v>0</v>
      </c>
      <c r="S74" s="139">
        <f>S73+S9-S27</f>
        <v>0</v>
      </c>
      <c r="T74" s="139">
        <f>T73+T9-T27</f>
        <v>0</v>
      </c>
      <c r="U74" s="139"/>
    </row>
    <row r="75" spans="1:21" ht="18.75">
      <c r="A75" s="48"/>
      <c r="B75" s="140"/>
      <c r="C75" s="189"/>
      <c r="D75" s="189"/>
      <c r="E75" s="138"/>
      <c r="F75" s="139"/>
      <c r="G75" s="144"/>
      <c r="H75" s="144"/>
      <c r="I75" s="144"/>
      <c r="J75" s="144"/>
      <c r="K75" s="144"/>
      <c r="L75" s="144"/>
      <c r="M75" s="144"/>
      <c r="N75" s="85"/>
      <c r="O75" s="85"/>
      <c r="P75" s="85"/>
      <c r="Q75" s="85"/>
      <c r="R75" s="85"/>
      <c r="S75" s="85"/>
      <c r="T75" s="145"/>
      <c r="U75" s="85"/>
    </row>
    <row r="76" spans="1:21" ht="18.75">
      <c r="A76" s="146"/>
      <c r="B76" s="147"/>
      <c r="C76" s="147"/>
      <c r="D76" s="191"/>
      <c r="E76" s="147"/>
      <c r="F76" s="86"/>
      <c r="G76" s="86"/>
      <c r="H76" s="86"/>
      <c r="I76" s="144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</row>
  </sheetData>
  <sheetProtection/>
  <mergeCells count="15">
    <mergeCell ref="A1:M1"/>
    <mergeCell ref="A2:M2"/>
    <mergeCell ref="A3:M3"/>
    <mergeCell ref="A4:A7"/>
    <mergeCell ref="B4:B7"/>
    <mergeCell ref="C4:C7"/>
    <mergeCell ref="D4:D7"/>
    <mergeCell ref="E4:E7"/>
    <mergeCell ref="F4:F7"/>
    <mergeCell ref="G4:T4"/>
    <mergeCell ref="G5:T5"/>
    <mergeCell ref="G6:G7"/>
    <mergeCell ref="I6:I7"/>
    <mergeCell ref="L6:P6"/>
    <mergeCell ref="R6:U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PageLayoutView="0" workbookViewId="0" topLeftCell="A4">
      <pane xSplit="4" ySplit="5" topLeftCell="Q9" activePane="bottomRight" state="frozen"/>
      <selection pane="topLeft" activeCell="A4" sqref="A4"/>
      <selection pane="topRight" activeCell="E4" sqref="E4"/>
      <selection pane="bottomLeft" activeCell="A9" sqref="A9"/>
      <selection pane="bottomRight" activeCell="G67" sqref="G67"/>
    </sheetView>
  </sheetViews>
  <sheetFormatPr defaultColWidth="9.00390625" defaultRowHeight="12.75"/>
  <cols>
    <col min="1" max="1" width="61.25390625" style="0" customWidth="1"/>
    <col min="2" max="2" width="13.625" style="0" customWidth="1"/>
    <col min="3" max="3" width="13.75390625" style="0" customWidth="1"/>
    <col min="4" max="4" width="12.625" style="0" customWidth="1"/>
    <col min="5" max="5" width="23.25390625" style="0" customWidth="1"/>
    <col min="6" max="6" width="22.25390625" style="0" customWidth="1"/>
    <col min="7" max="7" width="18.75390625" style="0" customWidth="1"/>
    <col min="8" max="8" width="12.875" style="0" customWidth="1"/>
    <col min="9" max="9" width="15.125" style="0" customWidth="1"/>
    <col min="10" max="10" width="23.625" style="0" customWidth="1"/>
    <col min="18" max="18" width="21.00390625" style="0" customWidth="1"/>
    <col min="19" max="19" width="19.25390625" style="0" customWidth="1"/>
    <col min="20" max="20" width="18.25390625" style="0" customWidth="1"/>
    <col min="21" max="21" width="13.125" style="0" customWidth="1"/>
  </cols>
  <sheetData>
    <row r="1" spans="1:21" ht="18.75">
      <c r="A1" s="226" t="s">
        <v>163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5"/>
      <c r="O1" s="5"/>
      <c r="P1" s="5"/>
      <c r="Q1" s="5"/>
      <c r="R1" s="3"/>
      <c r="S1" s="3"/>
      <c r="T1" s="3"/>
      <c r="U1" s="3"/>
    </row>
    <row r="2" spans="1:21" ht="18.75">
      <c r="A2" s="226" t="s">
        <v>155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5"/>
      <c r="O2" s="5"/>
      <c r="P2" s="5"/>
      <c r="Q2" s="5"/>
      <c r="R2" s="3"/>
      <c r="S2" s="3"/>
      <c r="T2" s="3"/>
      <c r="U2" s="3"/>
    </row>
    <row r="3" spans="1:21" ht="24" thickBot="1">
      <c r="A3" s="226" t="s">
        <v>170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133"/>
      <c r="O3" s="133"/>
      <c r="P3" s="40"/>
      <c r="Q3" s="40"/>
      <c r="R3" s="3"/>
      <c r="S3" s="3"/>
      <c r="T3" s="3"/>
      <c r="U3" s="3"/>
    </row>
    <row r="4" spans="1:21" ht="12.75">
      <c r="A4" s="198" t="s">
        <v>4</v>
      </c>
      <c r="B4" s="215" t="s">
        <v>38</v>
      </c>
      <c r="C4" s="212" t="s">
        <v>39</v>
      </c>
      <c r="D4" s="212" t="s">
        <v>257</v>
      </c>
      <c r="E4" s="202" t="s">
        <v>40</v>
      </c>
      <c r="F4" s="218" t="s">
        <v>2</v>
      </c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6"/>
      <c r="U4" s="110"/>
    </row>
    <row r="5" spans="1:21" ht="12.75">
      <c r="A5" s="199"/>
      <c r="B5" s="216"/>
      <c r="C5" s="213"/>
      <c r="D5" s="213"/>
      <c r="E5" s="203"/>
      <c r="F5" s="219"/>
      <c r="G5" s="209" t="s">
        <v>19</v>
      </c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2"/>
      <c r="U5" s="110"/>
    </row>
    <row r="6" spans="1:21" ht="12.75">
      <c r="A6" s="200"/>
      <c r="B6" s="216"/>
      <c r="C6" s="213"/>
      <c r="D6" s="213"/>
      <c r="E6" s="203"/>
      <c r="F6" s="219"/>
      <c r="G6" s="210" t="s">
        <v>41</v>
      </c>
      <c r="H6" s="104"/>
      <c r="I6" s="210" t="s">
        <v>258</v>
      </c>
      <c r="J6" s="103"/>
      <c r="K6" s="103"/>
      <c r="L6" s="209" t="s">
        <v>19</v>
      </c>
      <c r="M6" s="209"/>
      <c r="N6" s="209"/>
      <c r="O6" s="209"/>
      <c r="P6" s="209"/>
      <c r="Q6" s="104"/>
      <c r="R6" s="223" t="s">
        <v>44</v>
      </c>
      <c r="S6" s="224"/>
      <c r="T6" s="224"/>
      <c r="U6" s="225"/>
    </row>
    <row r="7" spans="1:21" ht="132.75" thickBot="1">
      <c r="A7" s="201"/>
      <c r="B7" s="217"/>
      <c r="C7" s="214"/>
      <c r="D7" s="214"/>
      <c r="E7" s="204"/>
      <c r="F7" s="220"/>
      <c r="G7" s="211"/>
      <c r="H7" s="103" t="s">
        <v>42</v>
      </c>
      <c r="I7" s="211"/>
      <c r="J7" s="105" t="s">
        <v>253</v>
      </c>
      <c r="K7" s="105"/>
      <c r="L7" s="105"/>
      <c r="M7" s="105"/>
      <c r="N7" s="105"/>
      <c r="O7" s="106"/>
      <c r="P7" s="106"/>
      <c r="Q7" s="106" t="s">
        <v>43</v>
      </c>
      <c r="R7" s="107" t="s">
        <v>45</v>
      </c>
      <c r="S7" s="108" t="s">
        <v>46</v>
      </c>
      <c r="T7" s="109" t="s">
        <v>47</v>
      </c>
      <c r="U7" s="110" t="s">
        <v>48</v>
      </c>
    </row>
    <row r="8" spans="1:21" ht="15.75">
      <c r="A8" s="41">
        <v>1</v>
      </c>
      <c r="B8" s="92">
        <v>2</v>
      </c>
      <c r="C8" s="92">
        <v>3</v>
      </c>
      <c r="D8" s="92">
        <v>4</v>
      </c>
      <c r="E8" s="42">
        <v>5</v>
      </c>
      <c r="F8" s="43">
        <v>6</v>
      </c>
      <c r="G8" s="44">
        <v>7</v>
      </c>
      <c r="H8" s="44">
        <v>8</v>
      </c>
      <c r="I8" s="93" t="s">
        <v>259</v>
      </c>
      <c r="J8" s="93" t="s">
        <v>49</v>
      </c>
      <c r="K8" s="93" t="s">
        <v>50</v>
      </c>
      <c r="L8" s="93" t="s">
        <v>51</v>
      </c>
      <c r="M8" s="93" t="s">
        <v>260</v>
      </c>
      <c r="N8" s="93" t="s">
        <v>261</v>
      </c>
      <c r="O8" s="93" t="s">
        <v>262</v>
      </c>
      <c r="P8" s="93" t="s">
        <v>263</v>
      </c>
      <c r="Q8" s="44">
        <v>10</v>
      </c>
      <c r="R8" s="44">
        <v>11</v>
      </c>
      <c r="S8" s="187" t="s">
        <v>264</v>
      </c>
      <c r="T8" s="187" t="s">
        <v>265</v>
      </c>
      <c r="U8" s="187" t="s">
        <v>266</v>
      </c>
    </row>
    <row r="9" spans="1:21" ht="18.75">
      <c r="A9" s="136" t="s">
        <v>52</v>
      </c>
      <c r="B9" s="137">
        <v>100</v>
      </c>
      <c r="C9" s="137"/>
      <c r="D9" s="137"/>
      <c r="E9" s="138"/>
      <c r="F9" s="139">
        <f>F11+F15+F19+F20+F21+F23</f>
        <v>31784736</v>
      </c>
      <c r="G9" s="139">
        <f aca="true" t="shared" si="0" ref="G9:U9">G11+G15+G19+G20+G21+G23</f>
        <v>27638975</v>
      </c>
      <c r="H9" s="139">
        <f t="shared" si="0"/>
        <v>0</v>
      </c>
      <c r="I9" s="139">
        <f t="shared" si="0"/>
        <v>0</v>
      </c>
      <c r="J9" s="139">
        <f t="shared" si="0"/>
        <v>0</v>
      </c>
      <c r="K9" s="139">
        <f t="shared" si="0"/>
        <v>0</v>
      </c>
      <c r="L9" s="139">
        <f t="shared" si="0"/>
        <v>0</v>
      </c>
      <c r="M9" s="139">
        <f t="shared" si="0"/>
        <v>0</v>
      </c>
      <c r="N9" s="139">
        <f t="shared" si="0"/>
        <v>0</v>
      </c>
      <c r="O9" s="139">
        <f t="shared" si="0"/>
        <v>0</v>
      </c>
      <c r="P9" s="139">
        <f t="shared" si="0"/>
        <v>0</v>
      </c>
      <c r="Q9" s="139">
        <f t="shared" si="0"/>
        <v>0</v>
      </c>
      <c r="R9" s="139">
        <f t="shared" si="0"/>
        <v>4145761</v>
      </c>
      <c r="S9" s="139">
        <f t="shared" si="0"/>
        <v>2106254</v>
      </c>
      <c r="T9" s="139">
        <f t="shared" si="0"/>
        <v>2039507</v>
      </c>
      <c r="U9" s="139">
        <f t="shared" si="0"/>
        <v>0</v>
      </c>
    </row>
    <row r="10" spans="1:21" ht="18.75">
      <c r="A10" s="136" t="s">
        <v>7</v>
      </c>
      <c r="B10" s="140"/>
      <c r="C10" s="140"/>
      <c r="D10" s="140"/>
      <c r="E10" s="141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</row>
    <row r="11" spans="1:21" ht="18.75">
      <c r="A11" s="136" t="s">
        <v>53</v>
      </c>
      <c r="B11" s="140">
        <v>110</v>
      </c>
      <c r="C11" s="140">
        <v>120</v>
      </c>
      <c r="D11" s="140"/>
      <c r="E11" s="141"/>
      <c r="F11" s="139">
        <f>F13+F14</f>
        <v>0</v>
      </c>
      <c r="G11" s="139">
        <f aca="true" t="shared" si="1" ref="G11:U11">G13+G14</f>
        <v>0</v>
      </c>
      <c r="H11" s="139">
        <f t="shared" si="1"/>
        <v>0</v>
      </c>
      <c r="I11" s="139">
        <f t="shared" si="1"/>
        <v>0</v>
      </c>
      <c r="J11" s="139">
        <f t="shared" si="1"/>
        <v>0</v>
      </c>
      <c r="K11" s="139">
        <f t="shared" si="1"/>
        <v>0</v>
      </c>
      <c r="L11" s="139">
        <f t="shared" si="1"/>
        <v>0</v>
      </c>
      <c r="M11" s="139">
        <f t="shared" si="1"/>
        <v>0</v>
      </c>
      <c r="N11" s="139">
        <f t="shared" si="1"/>
        <v>0</v>
      </c>
      <c r="O11" s="139">
        <f t="shared" si="1"/>
        <v>0</v>
      </c>
      <c r="P11" s="139">
        <f t="shared" si="1"/>
        <v>0</v>
      </c>
      <c r="Q11" s="139">
        <f t="shared" si="1"/>
        <v>0</v>
      </c>
      <c r="R11" s="139">
        <f t="shared" si="1"/>
        <v>0</v>
      </c>
      <c r="S11" s="139">
        <f t="shared" si="1"/>
        <v>0</v>
      </c>
      <c r="T11" s="139">
        <f t="shared" si="1"/>
        <v>0</v>
      </c>
      <c r="U11" s="139">
        <f t="shared" si="1"/>
        <v>0</v>
      </c>
    </row>
    <row r="12" spans="1:21" ht="18.75">
      <c r="A12" s="136" t="s">
        <v>54</v>
      </c>
      <c r="B12" s="140"/>
      <c r="C12" s="140"/>
      <c r="D12" s="140"/>
      <c r="E12" s="141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</row>
    <row r="13" spans="1:21" ht="18.75">
      <c r="A13" s="136"/>
      <c r="B13" s="140">
        <v>111</v>
      </c>
      <c r="C13" s="140"/>
      <c r="D13" s="140"/>
      <c r="E13" s="141"/>
      <c r="F13" s="139">
        <f>G13+H13+I13+Q13+R13</f>
        <v>0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>
        <f>S13+T13+U13</f>
        <v>0</v>
      </c>
      <c r="S13" s="139"/>
      <c r="T13" s="139"/>
      <c r="U13" s="139"/>
    </row>
    <row r="14" spans="1:21" ht="18.75">
      <c r="A14" s="136"/>
      <c r="B14" s="140">
        <v>112</v>
      </c>
      <c r="C14" s="140"/>
      <c r="D14" s="140"/>
      <c r="E14" s="141"/>
      <c r="F14" s="139">
        <f>G14+H14+I14+Q14+R14</f>
        <v>0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>
        <f>S14+T14+U14</f>
        <v>0</v>
      </c>
      <c r="S14" s="139"/>
      <c r="T14" s="139"/>
      <c r="U14" s="139"/>
    </row>
    <row r="15" spans="1:21" ht="18.75">
      <c r="A15" s="136" t="s">
        <v>55</v>
      </c>
      <c r="B15" s="142">
        <v>120</v>
      </c>
      <c r="C15" s="142">
        <v>130</v>
      </c>
      <c r="D15" s="142"/>
      <c r="E15" s="141"/>
      <c r="F15" s="139">
        <f>F17+F18</f>
        <v>31784736</v>
      </c>
      <c r="G15" s="139">
        <f aca="true" t="shared" si="2" ref="G15:U15">G17+G18</f>
        <v>27638975</v>
      </c>
      <c r="H15" s="139">
        <f t="shared" si="2"/>
        <v>0</v>
      </c>
      <c r="I15" s="139">
        <f t="shared" si="2"/>
        <v>0</v>
      </c>
      <c r="J15" s="139">
        <f t="shared" si="2"/>
        <v>0</v>
      </c>
      <c r="K15" s="139">
        <f t="shared" si="2"/>
        <v>0</v>
      </c>
      <c r="L15" s="139">
        <f t="shared" si="2"/>
        <v>0</v>
      </c>
      <c r="M15" s="139">
        <f t="shared" si="2"/>
        <v>0</v>
      </c>
      <c r="N15" s="139">
        <f t="shared" si="2"/>
        <v>0</v>
      </c>
      <c r="O15" s="139">
        <f t="shared" si="2"/>
        <v>0</v>
      </c>
      <c r="P15" s="139">
        <f t="shared" si="2"/>
        <v>0</v>
      </c>
      <c r="Q15" s="139">
        <f t="shared" si="2"/>
        <v>0</v>
      </c>
      <c r="R15" s="139">
        <f t="shared" si="2"/>
        <v>4145761</v>
      </c>
      <c r="S15" s="139">
        <f t="shared" si="2"/>
        <v>2106254</v>
      </c>
      <c r="T15" s="139">
        <f t="shared" si="2"/>
        <v>2039507</v>
      </c>
      <c r="U15" s="139">
        <f t="shared" si="2"/>
        <v>0</v>
      </c>
    </row>
    <row r="16" spans="1:21" ht="18.75">
      <c r="A16" s="136" t="s">
        <v>7</v>
      </c>
      <c r="B16" s="142"/>
      <c r="C16" s="142"/>
      <c r="D16" s="142"/>
      <c r="E16" s="141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</row>
    <row r="17" spans="1:21" ht="18.75">
      <c r="A17" s="136" t="s">
        <v>101</v>
      </c>
      <c r="B17" s="142">
        <v>121</v>
      </c>
      <c r="C17" s="142">
        <v>131</v>
      </c>
      <c r="D17" s="142"/>
      <c r="E17" s="141"/>
      <c r="F17" s="139">
        <f>G17</f>
        <v>27638975</v>
      </c>
      <c r="G17" s="139">
        <v>27638975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>
        <f>S17+T17+U17</f>
        <v>0</v>
      </c>
      <c r="S17" s="139"/>
      <c r="T17" s="139"/>
      <c r="U17" s="139"/>
    </row>
    <row r="18" spans="1:21" ht="47.25">
      <c r="A18" s="136" t="s">
        <v>102</v>
      </c>
      <c r="B18" s="142">
        <v>122</v>
      </c>
      <c r="C18" s="142">
        <v>131</v>
      </c>
      <c r="D18" s="142"/>
      <c r="E18" s="141"/>
      <c r="F18" s="139">
        <f>R18</f>
        <v>4145761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>
        <f>S18+T18+U18</f>
        <v>4145761</v>
      </c>
      <c r="S18" s="139">
        <v>2106254</v>
      </c>
      <c r="T18" s="139">
        <v>2039507</v>
      </c>
      <c r="U18" s="139"/>
    </row>
    <row r="19" spans="1:21" ht="31.5">
      <c r="A19" s="136" t="s">
        <v>56</v>
      </c>
      <c r="B19" s="142">
        <v>130</v>
      </c>
      <c r="C19" s="142">
        <v>140</v>
      </c>
      <c r="D19" s="142"/>
      <c r="E19" s="138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</row>
    <row r="20" spans="1:21" ht="47.25">
      <c r="A20" s="136" t="s">
        <v>57</v>
      </c>
      <c r="B20" s="142">
        <v>140</v>
      </c>
      <c r="C20" s="142">
        <v>152</v>
      </c>
      <c r="D20" s="142"/>
      <c r="E20" s="138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</row>
    <row r="21" spans="1:21" ht="18.75">
      <c r="A21" s="136" t="s">
        <v>58</v>
      </c>
      <c r="B21" s="142">
        <v>150</v>
      </c>
      <c r="C21" s="142">
        <v>183</v>
      </c>
      <c r="D21" s="142"/>
      <c r="E21" s="138"/>
      <c r="F21" s="139">
        <f>I21</f>
        <v>0</v>
      </c>
      <c r="G21" s="139"/>
      <c r="H21" s="139"/>
      <c r="I21" s="139">
        <f>J21+K21+L21+M21+N21+O21+P21</f>
        <v>0</v>
      </c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</row>
    <row r="22" spans="1:21" ht="18.75">
      <c r="A22" s="136" t="s">
        <v>59</v>
      </c>
      <c r="B22" s="142">
        <v>160</v>
      </c>
      <c r="C22" s="142">
        <v>189</v>
      </c>
      <c r="D22" s="142"/>
      <c r="E22" s="138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</row>
    <row r="23" spans="1:21" ht="18.75">
      <c r="A23" s="136" t="s">
        <v>60</v>
      </c>
      <c r="B23" s="142">
        <v>180</v>
      </c>
      <c r="C23" s="142" t="s">
        <v>62</v>
      </c>
      <c r="D23" s="142"/>
      <c r="E23" s="138"/>
      <c r="F23" s="139">
        <f>F25+F26</f>
        <v>0</v>
      </c>
      <c r="G23" s="139">
        <f aca="true" t="shared" si="3" ref="G23:U23">G25+G26</f>
        <v>0</v>
      </c>
      <c r="H23" s="139">
        <f t="shared" si="3"/>
        <v>0</v>
      </c>
      <c r="I23" s="139">
        <f t="shared" si="3"/>
        <v>0</v>
      </c>
      <c r="J23" s="139">
        <f t="shared" si="3"/>
        <v>0</v>
      </c>
      <c r="K23" s="139">
        <f t="shared" si="3"/>
        <v>0</v>
      </c>
      <c r="L23" s="139">
        <f t="shared" si="3"/>
        <v>0</v>
      </c>
      <c r="M23" s="139">
        <f t="shared" si="3"/>
        <v>0</v>
      </c>
      <c r="N23" s="139">
        <f t="shared" si="3"/>
        <v>0</v>
      </c>
      <c r="O23" s="139">
        <f t="shared" si="3"/>
        <v>0</v>
      </c>
      <c r="P23" s="139">
        <f t="shared" si="3"/>
        <v>0</v>
      </c>
      <c r="Q23" s="139">
        <f t="shared" si="3"/>
        <v>0</v>
      </c>
      <c r="R23" s="139">
        <f t="shared" si="3"/>
        <v>0</v>
      </c>
      <c r="S23" s="139">
        <f t="shared" si="3"/>
        <v>0</v>
      </c>
      <c r="T23" s="139">
        <f t="shared" si="3"/>
        <v>0</v>
      </c>
      <c r="U23" s="139">
        <f t="shared" si="3"/>
        <v>0</v>
      </c>
    </row>
    <row r="24" spans="1:21" ht="18.75">
      <c r="A24" s="136" t="s">
        <v>61</v>
      </c>
      <c r="B24" s="142"/>
      <c r="C24" s="142"/>
      <c r="D24" s="142"/>
      <c r="E24" s="136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  <row r="25" spans="1:21" ht="18.75">
      <c r="A25" s="136"/>
      <c r="B25" s="142">
        <v>181</v>
      </c>
      <c r="C25" s="142"/>
      <c r="D25" s="142"/>
      <c r="E25" s="138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>
        <f>S25+T25+U25</f>
        <v>0</v>
      </c>
      <c r="S25" s="139"/>
      <c r="T25" s="139"/>
      <c r="U25" s="139"/>
    </row>
    <row r="26" spans="1:21" ht="18.75">
      <c r="A26" s="136"/>
      <c r="B26" s="142">
        <v>182</v>
      </c>
      <c r="C26" s="142"/>
      <c r="D26" s="142"/>
      <c r="E26" s="138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>
        <f>S26+T26+U26</f>
        <v>0</v>
      </c>
      <c r="S26" s="139"/>
      <c r="T26" s="139"/>
      <c r="U26" s="139"/>
    </row>
    <row r="27" spans="1:21" ht="18.75">
      <c r="A27" s="136" t="s">
        <v>63</v>
      </c>
      <c r="B27" s="142">
        <v>200</v>
      </c>
      <c r="C27" s="142" t="s">
        <v>62</v>
      </c>
      <c r="D27" s="142"/>
      <c r="E27" s="138"/>
      <c r="F27" s="139">
        <f aca="true" t="shared" si="4" ref="F27:U27">F30+F39++F43+F49+F50+F55</f>
        <v>31784736</v>
      </c>
      <c r="G27" s="139">
        <f t="shared" si="4"/>
        <v>27638975</v>
      </c>
      <c r="H27" s="139">
        <f t="shared" si="4"/>
        <v>0</v>
      </c>
      <c r="I27" s="139">
        <f t="shared" si="4"/>
        <v>0</v>
      </c>
      <c r="J27" s="139">
        <f t="shared" si="4"/>
        <v>0</v>
      </c>
      <c r="K27" s="139">
        <f t="shared" si="4"/>
        <v>0</v>
      </c>
      <c r="L27" s="139">
        <f t="shared" si="4"/>
        <v>0</v>
      </c>
      <c r="M27" s="139">
        <f t="shared" si="4"/>
        <v>0</v>
      </c>
      <c r="N27" s="139">
        <f t="shared" si="4"/>
        <v>0</v>
      </c>
      <c r="O27" s="139">
        <f t="shared" si="4"/>
        <v>0</v>
      </c>
      <c r="P27" s="139">
        <f t="shared" si="4"/>
        <v>0</v>
      </c>
      <c r="Q27" s="139">
        <f t="shared" si="4"/>
        <v>0</v>
      </c>
      <c r="R27" s="139">
        <f t="shared" si="4"/>
        <v>4145761</v>
      </c>
      <c r="S27" s="139">
        <f t="shared" si="4"/>
        <v>2106254</v>
      </c>
      <c r="T27" s="139">
        <f t="shared" si="4"/>
        <v>2039507</v>
      </c>
      <c r="U27" s="139">
        <f t="shared" si="4"/>
        <v>0</v>
      </c>
    </row>
    <row r="28" spans="1:21" ht="18.75">
      <c r="A28" s="136" t="s">
        <v>7</v>
      </c>
      <c r="B28" s="143"/>
      <c r="C28" s="143"/>
      <c r="D28" s="143"/>
      <c r="E28" s="138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</row>
    <row r="29" spans="1:21" ht="18.75">
      <c r="A29" s="136"/>
      <c r="B29" s="143"/>
      <c r="C29" s="143"/>
      <c r="D29" s="143"/>
      <c r="E29" s="141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</row>
    <row r="30" spans="1:21" ht="18.75">
      <c r="A30" s="136" t="s">
        <v>64</v>
      </c>
      <c r="B30" s="140">
        <v>210</v>
      </c>
      <c r="C30" s="140">
        <v>210</v>
      </c>
      <c r="D30" s="140"/>
      <c r="E30" s="138"/>
      <c r="F30" s="139">
        <f>F32</f>
        <v>29439230</v>
      </c>
      <c r="G30" s="139">
        <f aca="true" t="shared" si="5" ref="G30:U30">G32</f>
        <v>27113024</v>
      </c>
      <c r="H30" s="139">
        <f t="shared" si="5"/>
        <v>0</v>
      </c>
      <c r="I30" s="139">
        <f t="shared" si="5"/>
        <v>0</v>
      </c>
      <c r="J30" s="139">
        <f t="shared" si="5"/>
        <v>0</v>
      </c>
      <c r="K30" s="139">
        <f t="shared" si="5"/>
        <v>0</v>
      </c>
      <c r="L30" s="139">
        <f t="shared" si="5"/>
        <v>0</v>
      </c>
      <c r="M30" s="139">
        <f t="shared" si="5"/>
        <v>0</v>
      </c>
      <c r="N30" s="139">
        <f t="shared" si="5"/>
        <v>0</v>
      </c>
      <c r="O30" s="139">
        <f t="shared" si="5"/>
        <v>0</v>
      </c>
      <c r="P30" s="139">
        <f t="shared" si="5"/>
        <v>0</v>
      </c>
      <c r="Q30" s="139">
        <f t="shared" si="5"/>
        <v>0</v>
      </c>
      <c r="R30" s="139">
        <f t="shared" si="5"/>
        <v>2326206</v>
      </c>
      <c r="S30" s="139">
        <f t="shared" si="5"/>
        <v>1059465</v>
      </c>
      <c r="T30" s="139">
        <f t="shared" si="5"/>
        <v>1266741</v>
      </c>
      <c r="U30" s="139">
        <f t="shared" si="5"/>
        <v>0</v>
      </c>
    </row>
    <row r="31" spans="1:21" ht="18.75">
      <c r="A31" s="136" t="s">
        <v>6</v>
      </c>
      <c r="B31" s="140"/>
      <c r="C31" s="140"/>
      <c r="D31" s="140"/>
      <c r="E31" s="138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</row>
    <row r="32" spans="1:21" ht="18.75">
      <c r="A32" s="136" t="s">
        <v>65</v>
      </c>
      <c r="B32" s="140">
        <v>211</v>
      </c>
      <c r="C32" s="140">
        <v>210</v>
      </c>
      <c r="D32" s="140"/>
      <c r="E32" s="141"/>
      <c r="F32" s="139">
        <f>F34+F35+F36+F37+F38</f>
        <v>29439230</v>
      </c>
      <c r="G32" s="139">
        <f>G34+G36+G38</f>
        <v>27113024</v>
      </c>
      <c r="H32" s="139">
        <f>H34+H36+H38</f>
        <v>0</v>
      </c>
      <c r="I32" s="139">
        <f>I35+I37</f>
        <v>0</v>
      </c>
      <c r="J32" s="139">
        <f>J35+J37</f>
        <v>0</v>
      </c>
      <c r="K32" s="139">
        <f aca="true" t="shared" si="6" ref="K32:U32">K34+K36+K38</f>
        <v>0</v>
      </c>
      <c r="L32" s="139">
        <f t="shared" si="6"/>
        <v>0</v>
      </c>
      <c r="M32" s="139">
        <f t="shared" si="6"/>
        <v>0</v>
      </c>
      <c r="N32" s="139">
        <f t="shared" si="6"/>
        <v>0</v>
      </c>
      <c r="O32" s="139">
        <f t="shared" si="6"/>
        <v>0</v>
      </c>
      <c r="P32" s="139">
        <f t="shared" si="6"/>
        <v>0</v>
      </c>
      <c r="Q32" s="139">
        <f t="shared" si="6"/>
        <v>0</v>
      </c>
      <c r="R32" s="139">
        <f t="shared" si="6"/>
        <v>2326206</v>
      </c>
      <c r="S32" s="139">
        <f t="shared" si="6"/>
        <v>1059465</v>
      </c>
      <c r="T32" s="139">
        <f t="shared" si="6"/>
        <v>1266741</v>
      </c>
      <c r="U32" s="139">
        <f t="shared" si="6"/>
        <v>0</v>
      </c>
    </row>
    <row r="33" spans="1:21" ht="18.75">
      <c r="A33" s="136" t="s">
        <v>6</v>
      </c>
      <c r="B33" s="140"/>
      <c r="C33" s="189"/>
      <c r="D33" s="140"/>
      <c r="E33" s="141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ht="18.75">
      <c r="A34" s="136" t="s">
        <v>66</v>
      </c>
      <c r="B34" s="140">
        <v>212</v>
      </c>
      <c r="C34" s="190" t="s">
        <v>269</v>
      </c>
      <c r="D34" s="189" t="s">
        <v>287</v>
      </c>
      <c r="E34" s="141"/>
      <c r="F34" s="139">
        <f>G34+H34+I34+Q34+R34</f>
        <v>22414274</v>
      </c>
      <c r="G34" s="139">
        <v>20822200</v>
      </c>
      <c r="H34" s="139"/>
      <c r="I34" s="139">
        <f>J34+K34+L34+M34+N34+O34+P34</f>
        <v>0</v>
      </c>
      <c r="J34" s="139"/>
      <c r="K34" s="139"/>
      <c r="L34" s="139"/>
      <c r="M34" s="139"/>
      <c r="N34" s="139"/>
      <c r="O34" s="139"/>
      <c r="P34" s="139"/>
      <c r="Q34" s="139"/>
      <c r="R34" s="139">
        <f>S34+T34+U34</f>
        <v>1592074</v>
      </c>
      <c r="S34" s="139">
        <v>808853</v>
      </c>
      <c r="T34" s="139">
        <v>783221</v>
      </c>
      <c r="U34" s="139"/>
    </row>
    <row r="35" spans="1:21" ht="18.75">
      <c r="A35" s="136" t="s">
        <v>66</v>
      </c>
      <c r="B35" s="140"/>
      <c r="C35" s="190" t="s">
        <v>270</v>
      </c>
      <c r="D35" s="189" t="s">
        <v>287</v>
      </c>
      <c r="E35" s="141"/>
      <c r="F35" s="139">
        <f>G35+H35+I35+Q35+R35</f>
        <v>0</v>
      </c>
      <c r="G35" s="139"/>
      <c r="H35" s="139"/>
      <c r="I35" s="139">
        <f>J35+K35+L35+M35+N35+O35+P35</f>
        <v>0</v>
      </c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</row>
    <row r="36" spans="1:21" ht="18.75">
      <c r="A36" s="136" t="s">
        <v>13</v>
      </c>
      <c r="B36" s="140">
        <v>213</v>
      </c>
      <c r="C36" s="190" t="s">
        <v>271</v>
      </c>
      <c r="D36" s="189" t="s">
        <v>287</v>
      </c>
      <c r="E36" s="141"/>
      <c r="F36" s="139">
        <f aca="true" t="shared" si="7" ref="F36:F74">G36+H36+I36+Q36+R36</f>
        <v>6769111</v>
      </c>
      <c r="G36" s="139">
        <v>6288304</v>
      </c>
      <c r="H36" s="139"/>
      <c r="I36" s="139">
        <f>J36+K36+L36+M36+N36+O36+P36</f>
        <v>0</v>
      </c>
      <c r="J36" s="139"/>
      <c r="K36" s="139"/>
      <c r="L36" s="139"/>
      <c r="M36" s="139"/>
      <c r="N36" s="139"/>
      <c r="O36" s="139"/>
      <c r="P36" s="139"/>
      <c r="Q36" s="139"/>
      <c r="R36" s="139">
        <f>S36+T36+U36</f>
        <v>480807</v>
      </c>
      <c r="S36" s="139">
        <v>244274</v>
      </c>
      <c r="T36" s="139">
        <v>236533</v>
      </c>
      <c r="U36" s="139"/>
    </row>
    <row r="37" spans="1:21" ht="18.75">
      <c r="A37" s="136" t="s">
        <v>13</v>
      </c>
      <c r="B37" s="140"/>
      <c r="C37" s="190" t="s">
        <v>272</v>
      </c>
      <c r="D37" s="189" t="s">
        <v>287</v>
      </c>
      <c r="E37" s="141"/>
      <c r="F37" s="139">
        <f t="shared" si="7"/>
        <v>0</v>
      </c>
      <c r="G37" s="139"/>
      <c r="H37" s="139"/>
      <c r="I37" s="139">
        <f>J37+K37+L37+M37+N37+O37+P37</f>
        <v>0</v>
      </c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</row>
    <row r="38" spans="1:21" ht="18.75">
      <c r="A38" s="136" t="s">
        <v>12</v>
      </c>
      <c r="B38" s="140">
        <v>214</v>
      </c>
      <c r="C38" s="190" t="s">
        <v>273</v>
      </c>
      <c r="D38" s="189" t="s">
        <v>292</v>
      </c>
      <c r="E38" s="138"/>
      <c r="F38" s="139">
        <f t="shared" si="7"/>
        <v>255845</v>
      </c>
      <c r="G38" s="139">
        <v>2520</v>
      </c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>
        <f>S38+T38+U38</f>
        <v>253325</v>
      </c>
      <c r="S38" s="139">
        <v>6338</v>
      </c>
      <c r="T38" s="139">
        <v>246987</v>
      </c>
      <c r="U38" s="139"/>
    </row>
    <row r="39" spans="1:21" ht="18.75">
      <c r="A39" s="136" t="s">
        <v>67</v>
      </c>
      <c r="B39" s="140">
        <v>220</v>
      </c>
      <c r="C39" s="189">
        <v>260</v>
      </c>
      <c r="D39" s="189"/>
      <c r="E39" s="138"/>
      <c r="F39" s="139">
        <f t="shared" si="7"/>
        <v>0</v>
      </c>
      <c r="G39" s="139">
        <f aca="true" t="shared" si="8" ref="G39:U39">G41+G42</f>
        <v>0</v>
      </c>
      <c r="H39" s="139">
        <f t="shared" si="8"/>
        <v>0</v>
      </c>
      <c r="I39" s="139">
        <f t="shared" si="8"/>
        <v>0</v>
      </c>
      <c r="J39" s="139">
        <f t="shared" si="8"/>
        <v>0</v>
      </c>
      <c r="K39" s="139">
        <f t="shared" si="8"/>
        <v>0</v>
      </c>
      <c r="L39" s="139">
        <f t="shared" si="8"/>
        <v>0</v>
      </c>
      <c r="M39" s="139">
        <f t="shared" si="8"/>
        <v>0</v>
      </c>
      <c r="N39" s="139">
        <f t="shared" si="8"/>
        <v>0</v>
      </c>
      <c r="O39" s="139">
        <f t="shared" si="8"/>
        <v>0</v>
      </c>
      <c r="P39" s="139">
        <f t="shared" si="8"/>
        <v>0</v>
      </c>
      <c r="Q39" s="139">
        <f t="shared" si="8"/>
        <v>0</v>
      </c>
      <c r="R39" s="139">
        <f t="shared" si="8"/>
        <v>0</v>
      </c>
      <c r="S39" s="139">
        <f t="shared" si="8"/>
        <v>0</v>
      </c>
      <c r="T39" s="139">
        <f t="shared" si="8"/>
        <v>0</v>
      </c>
      <c r="U39" s="139">
        <f t="shared" si="8"/>
        <v>0</v>
      </c>
    </row>
    <row r="40" spans="1:21" ht="18.75">
      <c r="A40" s="136" t="s">
        <v>6</v>
      </c>
      <c r="B40" s="140"/>
      <c r="C40" s="189"/>
      <c r="D40" s="189"/>
      <c r="E40" s="138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</row>
    <row r="41" spans="1:21" ht="18.75">
      <c r="A41" s="136"/>
      <c r="B41" s="140">
        <v>221</v>
      </c>
      <c r="C41" s="189"/>
      <c r="D41" s="189"/>
      <c r="E41" s="138"/>
      <c r="F41" s="139">
        <f t="shared" si="7"/>
        <v>0</v>
      </c>
      <c r="G41" s="139"/>
      <c r="H41" s="139"/>
      <c r="I41" s="139">
        <f>J41+K41+L41+M41+N41+O41+P41</f>
        <v>0</v>
      </c>
      <c r="J41" s="139"/>
      <c r="K41" s="139"/>
      <c r="L41" s="139"/>
      <c r="M41" s="139"/>
      <c r="N41" s="139"/>
      <c r="O41" s="139"/>
      <c r="P41" s="139"/>
      <c r="Q41" s="139"/>
      <c r="R41" s="139">
        <f>S41+T41+U41</f>
        <v>0</v>
      </c>
      <c r="S41" s="139"/>
      <c r="T41" s="139"/>
      <c r="U41" s="139"/>
    </row>
    <row r="42" spans="1:21" ht="18.75">
      <c r="A42" s="136"/>
      <c r="B42" s="140">
        <v>222</v>
      </c>
      <c r="C42" s="189"/>
      <c r="D42" s="189"/>
      <c r="E42" s="138"/>
      <c r="F42" s="139">
        <f t="shared" si="7"/>
        <v>0</v>
      </c>
      <c r="G42" s="139"/>
      <c r="H42" s="139"/>
      <c r="I42" s="139">
        <f>J42+K42+L42+M42+N42+O42+P42</f>
        <v>0</v>
      </c>
      <c r="J42" s="139"/>
      <c r="K42" s="139"/>
      <c r="L42" s="139"/>
      <c r="M42" s="139"/>
      <c r="N42" s="139"/>
      <c r="O42" s="139"/>
      <c r="P42" s="139"/>
      <c r="Q42" s="139"/>
      <c r="R42" s="139">
        <f>S42+T42+U42</f>
        <v>0</v>
      </c>
      <c r="S42" s="139"/>
      <c r="T42" s="139"/>
      <c r="U42" s="139"/>
    </row>
    <row r="43" spans="1:21" ht="18.75">
      <c r="A43" s="136" t="s">
        <v>68</v>
      </c>
      <c r="B43" s="140">
        <v>230</v>
      </c>
      <c r="C43" s="189">
        <v>291</v>
      </c>
      <c r="D43" s="189"/>
      <c r="E43" s="141"/>
      <c r="F43" s="139">
        <f t="shared" si="7"/>
        <v>23944</v>
      </c>
      <c r="G43" s="139">
        <f>G45+G46+G47</f>
        <v>13149</v>
      </c>
      <c r="H43" s="139">
        <f aca="true" t="shared" si="9" ref="H43:Q43">H45+H48</f>
        <v>0</v>
      </c>
      <c r="I43" s="139">
        <f t="shared" si="9"/>
        <v>0</v>
      </c>
      <c r="J43" s="139">
        <f t="shared" si="9"/>
        <v>0</v>
      </c>
      <c r="K43" s="139">
        <f t="shared" si="9"/>
        <v>0</v>
      </c>
      <c r="L43" s="139">
        <f t="shared" si="9"/>
        <v>0</v>
      </c>
      <c r="M43" s="139">
        <f t="shared" si="9"/>
        <v>0</v>
      </c>
      <c r="N43" s="139">
        <f t="shared" si="9"/>
        <v>0</v>
      </c>
      <c r="O43" s="139">
        <f t="shared" si="9"/>
        <v>0</v>
      </c>
      <c r="P43" s="139">
        <f t="shared" si="9"/>
        <v>0</v>
      </c>
      <c r="Q43" s="139">
        <f t="shared" si="9"/>
        <v>0</v>
      </c>
      <c r="R43" s="139">
        <f>R45+R46+R47+R48</f>
        <v>10795</v>
      </c>
      <c r="S43" s="139">
        <f>S45+S46+S47+S48</f>
        <v>0</v>
      </c>
      <c r="T43" s="139">
        <f>T45+T46+T47+T48</f>
        <v>10795</v>
      </c>
      <c r="U43" s="139">
        <f>U45+U48</f>
        <v>0</v>
      </c>
    </row>
    <row r="44" spans="1:21" ht="18.75">
      <c r="A44" s="136" t="s">
        <v>6</v>
      </c>
      <c r="B44" s="140"/>
      <c r="C44" s="189"/>
      <c r="D44" s="189"/>
      <c r="E44" s="138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</row>
    <row r="45" spans="1:21" ht="18.75">
      <c r="A45" s="136" t="s">
        <v>69</v>
      </c>
      <c r="B45" s="140">
        <v>231</v>
      </c>
      <c r="C45" s="190" t="s">
        <v>274</v>
      </c>
      <c r="D45" s="189" t="s">
        <v>289</v>
      </c>
      <c r="E45" s="138"/>
      <c r="F45" s="139">
        <f t="shared" si="7"/>
        <v>3900</v>
      </c>
      <c r="G45" s="139">
        <v>3900</v>
      </c>
      <c r="H45" s="139"/>
      <c r="I45" s="139">
        <f>J45+K45+L45+M45+N45+O45+P45</f>
        <v>0</v>
      </c>
      <c r="J45" s="139"/>
      <c r="K45" s="139"/>
      <c r="L45" s="139"/>
      <c r="M45" s="139"/>
      <c r="N45" s="139"/>
      <c r="O45" s="139"/>
      <c r="P45" s="139"/>
      <c r="Q45" s="139"/>
      <c r="R45" s="139">
        <f aca="true" t="shared" si="10" ref="R45:R50">S45+T45+U45</f>
        <v>0</v>
      </c>
      <c r="S45" s="139"/>
      <c r="T45" s="139"/>
      <c r="U45" s="139"/>
    </row>
    <row r="46" spans="1:21" ht="18.75">
      <c r="A46" s="136" t="s">
        <v>69</v>
      </c>
      <c r="B46" s="140"/>
      <c r="C46" s="190" t="s">
        <v>275</v>
      </c>
      <c r="D46" s="189" t="s">
        <v>290</v>
      </c>
      <c r="E46" s="138"/>
      <c r="F46" s="139">
        <f t="shared" si="7"/>
        <v>14249</v>
      </c>
      <c r="G46" s="139">
        <v>9249</v>
      </c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>
        <f t="shared" si="10"/>
        <v>5000</v>
      </c>
      <c r="S46" s="139"/>
      <c r="T46" s="139">
        <v>5000</v>
      </c>
      <c r="U46" s="139"/>
    </row>
    <row r="47" spans="1:21" ht="18.75">
      <c r="A47" s="136" t="s">
        <v>69</v>
      </c>
      <c r="B47" s="140"/>
      <c r="C47" s="190" t="s">
        <v>277</v>
      </c>
      <c r="D47" s="189" t="s">
        <v>299</v>
      </c>
      <c r="E47" s="138"/>
      <c r="F47" s="139">
        <f t="shared" si="7"/>
        <v>5795</v>
      </c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>
        <f t="shared" si="10"/>
        <v>5795</v>
      </c>
      <c r="S47" s="139"/>
      <c r="T47" s="139">
        <v>5795</v>
      </c>
      <c r="U47" s="139"/>
    </row>
    <row r="48" spans="1:21" ht="18.75">
      <c r="A48" s="136"/>
      <c r="B48" s="140">
        <v>232</v>
      </c>
      <c r="C48" s="189"/>
      <c r="D48" s="189"/>
      <c r="E48" s="138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>
        <f t="shared" si="10"/>
        <v>0</v>
      </c>
      <c r="S48" s="139"/>
      <c r="T48" s="139"/>
      <c r="U48" s="139"/>
    </row>
    <row r="49" spans="1:21" ht="18.75">
      <c r="A49" s="136" t="s">
        <v>14</v>
      </c>
      <c r="B49" s="140">
        <v>240</v>
      </c>
      <c r="C49" s="189" t="s">
        <v>286</v>
      </c>
      <c r="D49" s="189"/>
      <c r="E49" s="138"/>
      <c r="F49" s="139">
        <f t="shared" si="7"/>
        <v>0</v>
      </c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>
        <f t="shared" si="10"/>
        <v>0</v>
      </c>
      <c r="S49" s="139"/>
      <c r="T49" s="139"/>
      <c r="U49" s="139"/>
    </row>
    <row r="50" spans="1:21" ht="31.5">
      <c r="A50" s="136" t="s">
        <v>70</v>
      </c>
      <c r="B50" s="140">
        <v>250</v>
      </c>
      <c r="C50" s="189" t="s">
        <v>285</v>
      </c>
      <c r="D50" s="189"/>
      <c r="E50" s="138"/>
      <c r="F50" s="139">
        <f t="shared" si="7"/>
        <v>0</v>
      </c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>
        <f t="shared" si="10"/>
        <v>0</v>
      </c>
      <c r="S50" s="139"/>
      <c r="T50" s="139"/>
      <c r="U50" s="139"/>
    </row>
    <row r="51" spans="1:21" ht="18.75">
      <c r="A51" s="136" t="s">
        <v>61</v>
      </c>
      <c r="B51" s="140"/>
      <c r="C51" s="189"/>
      <c r="D51" s="189"/>
      <c r="E51" s="138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1:21" ht="18.75">
      <c r="A52" s="136" t="s">
        <v>267</v>
      </c>
      <c r="B52" s="140">
        <v>251</v>
      </c>
      <c r="C52" s="189"/>
      <c r="D52" s="189"/>
      <c r="E52" s="138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</row>
    <row r="53" spans="1:21" ht="18.75">
      <c r="A53" s="136" t="s">
        <v>268</v>
      </c>
      <c r="B53" s="140">
        <v>252</v>
      </c>
      <c r="C53" s="189"/>
      <c r="D53" s="189"/>
      <c r="E53" s="138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</row>
    <row r="54" spans="1:21" ht="18.75">
      <c r="A54" s="136"/>
      <c r="B54" s="140">
        <v>253</v>
      </c>
      <c r="C54" s="189"/>
      <c r="D54" s="189"/>
      <c r="E54" s="138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</row>
    <row r="55" spans="1:21" ht="18.75">
      <c r="A55" s="136" t="s">
        <v>71</v>
      </c>
      <c r="B55" s="140">
        <v>260</v>
      </c>
      <c r="C55" s="189" t="s">
        <v>62</v>
      </c>
      <c r="D55" s="189"/>
      <c r="E55" s="138"/>
      <c r="F55" s="139">
        <f t="shared" si="7"/>
        <v>2321562</v>
      </c>
      <c r="G55" s="139">
        <f>G57+G58+G59+G60+G61+G62+G63+G64</f>
        <v>512802</v>
      </c>
      <c r="H55" s="139"/>
      <c r="I55" s="139">
        <f>J55+K55+L55+M55+N55+O55+P55</f>
        <v>0</v>
      </c>
      <c r="J55" s="139"/>
      <c r="K55" s="139"/>
      <c r="L55" s="139"/>
      <c r="M55" s="139"/>
      <c r="N55" s="139"/>
      <c r="O55" s="139"/>
      <c r="P55" s="139"/>
      <c r="Q55" s="139"/>
      <c r="R55" s="139">
        <f>S55+T55+U55</f>
        <v>1808760</v>
      </c>
      <c r="S55" s="139">
        <f>S57+S58+S59+S60+S61+S62+S63+S64</f>
        <v>1046789</v>
      </c>
      <c r="T55" s="139">
        <f>T57+T58+T59+T60+T61+T62+T63+T64</f>
        <v>761971</v>
      </c>
      <c r="U55" s="139"/>
    </row>
    <row r="56" spans="1:21" ht="18.75">
      <c r="A56" s="136" t="s">
        <v>61</v>
      </c>
      <c r="B56" s="140"/>
      <c r="C56" s="189"/>
      <c r="D56" s="189"/>
      <c r="E56" s="138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</row>
    <row r="57" spans="1:21" ht="18.75">
      <c r="A57" s="136" t="s">
        <v>72</v>
      </c>
      <c r="B57" s="140">
        <v>261</v>
      </c>
      <c r="C57" s="190" t="s">
        <v>276</v>
      </c>
      <c r="D57" s="189" t="s">
        <v>291</v>
      </c>
      <c r="E57" s="141"/>
      <c r="F57" s="139">
        <f t="shared" si="7"/>
        <v>102365</v>
      </c>
      <c r="G57" s="139">
        <v>84552</v>
      </c>
      <c r="H57" s="139"/>
      <c r="I57" s="139">
        <f>J57+K57+L57+M57+N57+O57+P57</f>
        <v>0</v>
      </c>
      <c r="J57" s="139"/>
      <c r="K57" s="139"/>
      <c r="L57" s="139"/>
      <c r="M57" s="139"/>
      <c r="N57" s="139"/>
      <c r="O57" s="139"/>
      <c r="P57" s="139"/>
      <c r="Q57" s="139"/>
      <c r="R57" s="139">
        <f aca="true" t="shared" si="11" ref="R57:R64">S57+T57+U57</f>
        <v>17813</v>
      </c>
      <c r="S57" s="139">
        <v>17813</v>
      </c>
      <c r="T57" s="139"/>
      <c r="U57" s="139"/>
    </row>
    <row r="58" spans="1:21" ht="18.75">
      <c r="A58" s="136" t="s">
        <v>73</v>
      </c>
      <c r="B58" s="140">
        <v>262</v>
      </c>
      <c r="C58" s="190" t="s">
        <v>278</v>
      </c>
      <c r="D58" s="189" t="s">
        <v>296</v>
      </c>
      <c r="E58" s="138"/>
      <c r="F58" s="139">
        <f t="shared" si="7"/>
        <v>0</v>
      </c>
      <c r="G58" s="139"/>
      <c r="H58" s="139"/>
      <c r="I58" s="139">
        <f aca="true" t="shared" si="12" ref="I58:I64">J58+K58+L58+M58+N58+O58+P58</f>
        <v>0</v>
      </c>
      <c r="J58" s="139"/>
      <c r="K58" s="139"/>
      <c r="L58" s="139"/>
      <c r="M58" s="139"/>
      <c r="N58" s="139"/>
      <c r="O58" s="139"/>
      <c r="P58" s="139"/>
      <c r="Q58" s="139"/>
      <c r="R58" s="139">
        <f t="shared" si="11"/>
        <v>0</v>
      </c>
      <c r="S58" s="139"/>
      <c r="T58" s="139"/>
      <c r="U58" s="139"/>
    </row>
    <row r="59" spans="1:21" ht="18.75">
      <c r="A59" s="136" t="s">
        <v>74</v>
      </c>
      <c r="B59" s="140">
        <v>263</v>
      </c>
      <c r="C59" s="190" t="s">
        <v>279</v>
      </c>
      <c r="D59" s="189" t="s">
        <v>288</v>
      </c>
      <c r="E59" s="138"/>
      <c r="F59" s="139">
        <f t="shared" si="7"/>
        <v>266770</v>
      </c>
      <c r="G59" s="139">
        <v>266770</v>
      </c>
      <c r="H59" s="139"/>
      <c r="I59" s="139">
        <f t="shared" si="12"/>
        <v>0</v>
      </c>
      <c r="J59" s="139"/>
      <c r="K59" s="139"/>
      <c r="L59" s="139"/>
      <c r="M59" s="139"/>
      <c r="N59" s="139"/>
      <c r="O59" s="139"/>
      <c r="P59" s="139"/>
      <c r="Q59" s="139"/>
      <c r="R59" s="139">
        <f t="shared" si="11"/>
        <v>0</v>
      </c>
      <c r="S59" s="139"/>
      <c r="T59" s="139"/>
      <c r="U59" s="139"/>
    </row>
    <row r="60" spans="1:21" ht="18.75">
      <c r="A60" s="136" t="s">
        <v>75</v>
      </c>
      <c r="B60" s="140">
        <v>264</v>
      </c>
      <c r="C60" s="190" t="s">
        <v>280</v>
      </c>
      <c r="D60" s="189" t="s">
        <v>293</v>
      </c>
      <c r="E60" s="141"/>
      <c r="F60" s="139">
        <f t="shared" si="7"/>
        <v>0</v>
      </c>
      <c r="G60" s="139"/>
      <c r="H60" s="139"/>
      <c r="I60" s="139">
        <f t="shared" si="12"/>
        <v>0</v>
      </c>
      <c r="J60" s="139"/>
      <c r="K60" s="139"/>
      <c r="L60" s="139"/>
      <c r="M60" s="139"/>
      <c r="N60" s="139"/>
      <c r="O60" s="139"/>
      <c r="P60" s="139"/>
      <c r="Q60" s="139"/>
      <c r="R60" s="139">
        <f t="shared" si="11"/>
        <v>0</v>
      </c>
      <c r="S60" s="139"/>
      <c r="T60" s="139"/>
      <c r="U60" s="139"/>
    </row>
    <row r="61" spans="1:21" ht="18.75">
      <c r="A61" s="136" t="s">
        <v>76</v>
      </c>
      <c r="B61" s="140">
        <v>265</v>
      </c>
      <c r="C61" s="190" t="s">
        <v>281</v>
      </c>
      <c r="D61" s="189" t="s">
        <v>294</v>
      </c>
      <c r="E61" s="138"/>
      <c r="F61" s="139">
        <f t="shared" si="7"/>
        <v>499390</v>
      </c>
      <c r="G61" s="139"/>
      <c r="H61" s="139"/>
      <c r="I61" s="139">
        <f t="shared" si="12"/>
        <v>0</v>
      </c>
      <c r="J61" s="139"/>
      <c r="K61" s="139"/>
      <c r="L61" s="139"/>
      <c r="M61" s="139"/>
      <c r="N61" s="139"/>
      <c r="O61" s="139"/>
      <c r="P61" s="139"/>
      <c r="Q61" s="139"/>
      <c r="R61" s="139">
        <f t="shared" si="11"/>
        <v>499390</v>
      </c>
      <c r="S61" s="139">
        <v>233920</v>
      </c>
      <c r="T61" s="139">
        <v>265470</v>
      </c>
      <c r="U61" s="139"/>
    </row>
    <row r="62" spans="1:21" ht="18.75">
      <c r="A62" s="136" t="s">
        <v>165</v>
      </c>
      <c r="B62" s="140">
        <v>266</v>
      </c>
      <c r="C62" s="190" t="s">
        <v>282</v>
      </c>
      <c r="D62" s="189" t="s">
        <v>295</v>
      </c>
      <c r="E62" s="138"/>
      <c r="F62" s="139">
        <f t="shared" si="7"/>
        <v>348920</v>
      </c>
      <c r="G62" s="139"/>
      <c r="H62" s="139"/>
      <c r="I62" s="139">
        <f t="shared" si="12"/>
        <v>0</v>
      </c>
      <c r="J62" s="139"/>
      <c r="K62" s="139"/>
      <c r="L62" s="139"/>
      <c r="M62" s="139"/>
      <c r="N62" s="139"/>
      <c r="O62" s="139"/>
      <c r="P62" s="139"/>
      <c r="Q62" s="139"/>
      <c r="R62" s="139">
        <f t="shared" si="11"/>
        <v>348920</v>
      </c>
      <c r="S62" s="139">
        <v>289387</v>
      </c>
      <c r="T62" s="139">
        <v>59533</v>
      </c>
      <c r="U62" s="139"/>
    </row>
    <row r="63" spans="1:21" ht="18.75">
      <c r="A63" s="136" t="s">
        <v>166</v>
      </c>
      <c r="B63" s="140">
        <v>267</v>
      </c>
      <c r="C63" s="190" t="s">
        <v>283</v>
      </c>
      <c r="D63" s="189" t="s">
        <v>297</v>
      </c>
      <c r="E63" s="138"/>
      <c r="F63" s="139">
        <f t="shared" si="7"/>
        <v>215900</v>
      </c>
      <c r="G63" s="139"/>
      <c r="H63" s="139"/>
      <c r="I63" s="139">
        <f t="shared" si="12"/>
        <v>0</v>
      </c>
      <c r="J63" s="139"/>
      <c r="K63" s="139"/>
      <c r="L63" s="139"/>
      <c r="M63" s="139"/>
      <c r="N63" s="139"/>
      <c r="O63" s="139"/>
      <c r="P63" s="139"/>
      <c r="Q63" s="139"/>
      <c r="R63" s="139">
        <f t="shared" si="11"/>
        <v>215900</v>
      </c>
      <c r="S63" s="139">
        <v>107950</v>
      </c>
      <c r="T63" s="139">
        <v>107950</v>
      </c>
      <c r="U63" s="139"/>
    </row>
    <row r="64" spans="1:21" ht="18.75">
      <c r="A64" s="136" t="s">
        <v>167</v>
      </c>
      <c r="B64" s="140">
        <v>268</v>
      </c>
      <c r="C64" s="190" t="s">
        <v>284</v>
      </c>
      <c r="D64" s="189" t="s">
        <v>298</v>
      </c>
      <c r="E64" s="138"/>
      <c r="F64" s="139">
        <f t="shared" si="7"/>
        <v>888217</v>
      </c>
      <c r="G64" s="139">
        <v>161480</v>
      </c>
      <c r="H64" s="139"/>
      <c r="I64" s="139">
        <f t="shared" si="12"/>
        <v>0</v>
      </c>
      <c r="J64" s="139"/>
      <c r="K64" s="139"/>
      <c r="L64" s="139"/>
      <c r="M64" s="139"/>
      <c r="N64" s="139"/>
      <c r="O64" s="139"/>
      <c r="P64" s="139"/>
      <c r="Q64" s="139"/>
      <c r="R64" s="139">
        <f t="shared" si="11"/>
        <v>726737</v>
      </c>
      <c r="S64" s="139">
        <v>397719</v>
      </c>
      <c r="T64" s="139">
        <v>329018</v>
      </c>
      <c r="U64" s="139"/>
    </row>
    <row r="65" spans="1:21" ht="18.75">
      <c r="A65" s="136" t="s">
        <v>77</v>
      </c>
      <c r="B65" s="140">
        <v>300</v>
      </c>
      <c r="C65" s="189" t="s">
        <v>62</v>
      </c>
      <c r="D65" s="189"/>
      <c r="E65" s="138"/>
      <c r="F65" s="139">
        <f t="shared" si="7"/>
        <v>31784736</v>
      </c>
      <c r="G65" s="139">
        <f aca="true" t="shared" si="13" ref="G65:U65">G67+G68</f>
        <v>27638975</v>
      </c>
      <c r="H65" s="139">
        <f t="shared" si="13"/>
        <v>0</v>
      </c>
      <c r="I65" s="139">
        <f t="shared" si="13"/>
        <v>0</v>
      </c>
      <c r="J65" s="139">
        <f t="shared" si="13"/>
        <v>0</v>
      </c>
      <c r="K65" s="139">
        <f t="shared" si="13"/>
        <v>0</v>
      </c>
      <c r="L65" s="139">
        <f t="shared" si="13"/>
        <v>0</v>
      </c>
      <c r="M65" s="139">
        <f t="shared" si="13"/>
        <v>0</v>
      </c>
      <c r="N65" s="139">
        <f t="shared" si="13"/>
        <v>0</v>
      </c>
      <c r="O65" s="139">
        <f t="shared" si="13"/>
        <v>0</v>
      </c>
      <c r="P65" s="139">
        <f t="shared" si="13"/>
        <v>0</v>
      </c>
      <c r="Q65" s="139">
        <f t="shared" si="13"/>
        <v>0</v>
      </c>
      <c r="R65" s="139">
        <f t="shared" si="13"/>
        <v>4145761</v>
      </c>
      <c r="S65" s="139">
        <f t="shared" si="13"/>
        <v>2106254</v>
      </c>
      <c r="T65" s="139">
        <f t="shared" si="13"/>
        <v>2039507</v>
      </c>
      <c r="U65" s="139">
        <f t="shared" si="13"/>
        <v>0</v>
      </c>
    </row>
    <row r="66" spans="1:21" ht="18.75">
      <c r="A66" s="136" t="s">
        <v>6</v>
      </c>
      <c r="B66" s="140"/>
      <c r="C66" s="189"/>
      <c r="D66" s="189"/>
      <c r="E66" s="138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</row>
    <row r="67" spans="1:21" ht="18.75">
      <c r="A67" s="136" t="s">
        <v>78</v>
      </c>
      <c r="B67" s="140">
        <v>310</v>
      </c>
      <c r="C67" s="189">
        <v>510</v>
      </c>
      <c r="D67" s="189"/>
      <c r="E67" s="141"/>
      <c r="F67" s="139">
        <f t="shared" si="7"/>
        <v>31784736</v>
      </c>
      <c r="G67" s="139">
        <f aca="true" t="shared" si="14" ref="G67:Q67">G9</f>
        <v>27638975</v>
      </c>
      <c r="H67" s="139">
        <f t="shared" si="14"/>
        <v>0</v>
      </c>
      <c r="I67" s="139">
        <f t="shared" si="14"/>
        <v>0</v>
      </c>
      <c r="J67" s="139">
        <f t="shared" si="14"/>
        <v>0</v>
      </c>
      <c r="K67" s="139">
        <f t="shared" si="14"/>
        <v>0</v>
      </c>
      <c r="L67" s="139">
        <f t="shared" si="14"/>
        <v>0</v>
      </c>
      <c r="M67" s="139">
        <f t="shared" si="14"/>
        <v>0</v>
      </c>
      <c r="N67" s="139">
        <f t="shared" si="14"/>
        <v>0</v>
      </c>
      <c r="O67" s="139">
        <f t="shared" si="14"/>
        <v>0</v>
      </c>
      <c r="P67" s="139">
        <f t="shared" si="14"/>
        <v>0</v>
      </c>
      <c r="Q67" s="139">
        <f t="shared" si="14"/>
        <v>0</v>
      </c>
      <c r="R67" s="139">
        <f>S67+T67+U67</f>
        <v>4145761</v>
      </c>
      <c r="S67" s="139">
        <f>S9</f>
        <v>2106254</v>
      </c>
      <c r="T67" s="139">
        <f>T9</f>
        <v>2039507</v>
      </c>
      <c r="U67" s="139"/>
    </row>
    <row r="68" spans="1:21" ht="18.75">
      <c r="A68" s="136" t="s">
        <v>100</v>
      </c>
      <c r="B68" s="140">
        <v>320</v>
      </c>
      <c r="C68" s="189"/>
      <c r="D68" s="189"/>
      <c r="E68" s="138"/>
      <c r="F68" s="139">
        <f t="shared" si="7"/>
        <v>0</v>
      </c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>
        <f>S68+T68+U68</f>
        <v>0</v>
      </c>
      <c r="S68" s="139"/>
      <c r="T68" s="139"/>
      <c r="U68" s="139"/>
    </row>
    <row r="69" spans="1:21" ht="18.75">
      <c r="A69" s="136" t="s">
        <v>79</v>
      </c>
      <c r="B69" s="140">
        <v>400</v>
      </c>
      <c r="C69" s="189"/>
      <c r="D69" s="189"/>
      <c r="E69" s="138"/>
      <c r="F69" s="139">
        <f t="shared" si="7"/>
        <v>31784736</v>
      </c>
      <c r="G69" s="139">
        <f aca="true" t="shared" si="15" ref="G69:U69">G71+G72</f>
        <v>27638975</v>
      </c>
      <c r="H69" s="139">
        <f t="shared" si="15"/>
        <v>0</v>
      </c>
      <c r="I69" s="139">
        <f t="shared" si="15"/>
        <v>0</v>
      </c>
      <c r="J69" s="139">
        <f t="shared" si="15"/>
        <v>0</v>
      </c>
      <c r="K69" s="139">
        <f t="shared" si="15"/>
        <v>0</v>
      </c>
      <c r="L69" s="139">
        <f t="shared" si="15"/>
        <v>0</v>
      </c>
      <c r="M69" s="139">
        <f t="shared" si="15"/>
        <v>0</v>
      </c>
      <c r="N69" s="139">
        <f t="shared" si="15"/>
        <v>0</v>
      </c>
      <c r="O69" s="139">
        <f t="shared" si="15"/>
        <v>0</v>
      </c>
      <c r="P69" s="139">
        <f t="shared" si="15"/>
        <v>0</v>
      </c>
      <c r="Q69" s="139">
        <f t="shared" si="15"/>
        <v>0</v>
      </c>
      <c r="R69" s="139">
        <f t="shared" si="15"/>
        <v>4145761</v>
      </c>
      <c r="S69" s="139">
        <f t="shared" si="15"/>
        <v>2106254</v>
      </c>
      <c r="T69" s="139">
        <f t="shared" si="15"/>
        <v>2039507</v>
      </c>
      <c r="U69" s="139">
        <f t="shared" si="15"/>
        <v>0</v>
      </c>
    </row>
    <row r="70" spans="1:21" ht="18.75">
      <c r="A70" s="136" t="s">
        <v>6</v>
      </c>
      <c r="B70" s="140"/>
      <c r="C70" s="189"/>
      <c r="D70" s="189"/>
      <c r="E70" s="138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</row>
    <row r="71" spans="1:21" ht="18.75">
      <c r="A71" s="136" t="s">
        <v>80</v>
      </c>
      <c r="B71" s="140">
        <v>410</v>
      </c>
      <c r="C71" s="189"/>
      <c r="D71" s="189"/>
      <c r="E71" s="138"/>
      <c r="F71" s="139">
        <f t="shared" si="7"/>
        <v>31784736</v>
      </c>
      <c r="G71" s="139">
        <f aca="true" t="shared" si="16" ref="G71:Q71">G27</f>
        <v>27638975</v>
      </c>
      <c r="H71" s="139">
        <f t="shared" si="16"/>
        <v>0</v>
      </c>
      <c r="I71" s="139">
        <f t="shared" si="16"/>
        <v>0</v>
      </c>
      <c r="J71" s="139">
        <f t="shared" si="16"/>
        <v>0</v>
      </c>
      <c r="K71" s="139">
        <f t="shared" si="16"/>
        <v>0</v>
      </c>
      <c r="L71" s="139">
        <f t="shared" si="16"/>
        <v>0</v>
      </c>
      <c r="M71" s="139">
        <f t="shared" si="16"/>
        <v>0</v>
      </c>
      <c r="N71" s="139">
        <f t="shared" si="16"/>
        <v>0</v>
      </c>
      <c r="O71" s="139">
        <f t="shared" si="16"/>
        <v>0</v>
      </c>
      <c r="P71" s="139">
        <f t="shared" si="16"/>
        <v>0</v>
      </c>
      <c r="Q71" s="139">
        <f t="shared" si="16"/>
        <v>0</v>
      </c>
      <c r="R71" s="139">
        <f>S71+T71+U71</f>
        <v>4145761</v>
      </c>
      <c r="S71" s="139">
        <f>S27</f>
        <v>2106254</v>
      </c>
      <c r="T71" s="139">
        <f>T27</f>
        <v>2039507</v>
      </c>
      <c r="U71" s="139"/>
    </row>
    <row r="72" spans="1:21" ht="18.75">
      <c r="A72" s="48" t="s">
        <v>81</v>
      </c>
      <c r="B72" s="140">
        <v>420</v>
      </c>
      <c r="C72" s="189"/>
      <c r="D72" s="189"/>
      <c r="E72" s="138"/>
      <c r="F72" s="139">
        <f t="shared" si="7"/>
        <v>0</v>
      </c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>
        <f>S72+T72+U72</f>
        <v>0</v>
      </c>
      <c r="S72" s="139"/>
      <c r="T72" s="139"/>
      <c r="U72" s="139"/>
    </row>
    <row r="73" spans="1:21" ht="18.75">
      <c r="A73" s="48" t="s">
        <v>82</v>
      </c>
      <c r="B73" s="140">
        <v>500</v>
      </c>
      <c r="C73" s="189" t="s">
        <v>62</v>
      </c>
      <c r="D73" s="189"/>
      <c r="E73" s="138"/>
      <c r="F73" s="139">
        <v>0</v>
      </c>
      <c r="G73" s="139">
        <v>0</v>
      </c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>
        <f>S73+T73+U73</f>
        <v>0</v>
      </c>
      <c r="S73" s="139">
        <v>0</v>
      </c>
      <c r="T73" s="139">
        <v>0</v>
      </c>
      <c r="U73" s="139"/>
    </row>
    <row r="74" spans="1:21" ht="18.75">
      <c r="A74" s="48" t="s">
        <v>83</v>
      </c>
      <c r="B74" s="140">
        <v>600</v>
      </c>
      <c r="C74" s="189" t="s">
        <v>62</v>
      </c>
      <c r="D74" s="189"/>
      <c r="E74" s="138"/>
      <c r="F74" s="139">
        <f t="shared" si="7"/>
        <v>0</v>
      </c>
      <c r="G74" s="139">
        <f aca="true" t="shared" si="17" ref="G74:Q74">G73+G9-G27</f>
        <v>0</v>
      </c>
      <c r="H74" s="139">
        <f t="shared" si="17"/>
        <v>0</v>
      </c>
      <c r="I74" s="139">
        <f t="shared" si="17"/>
        <v>0</v>
      </c>
      <c r="J74" s="139">
        <f t="shared" si="17"/>
        <v>0</v>
      </c>
      <c r="K74" s="139">
        <f t="shared" si="17"/>
        <v>0</v>
      </c>
      <c r="L74" s="139">
        <f t="shared" si="17"/>
        <v>0</v>
      </c>
      <c r="M74" s="139">
        <f t="shared" si="17"/>
        <v>0</v>
      </c>
      <c r="N74" s="139">
        <f t="shared" si="17"/>
        <v>0</v>
      </c>
      <c r="O74" s="139">
        <f t="shared" si="17"/>
        <v>0</v>
      </c>
      <c r="P74" s="139">
        <f t="shared" si="17"/>
        <v>0</v>
      </c>
      <c r="Q74" s="139">
        <f t="shared" si="17"/>
        <v>0</v>
      </c>
      <c r="R74" s="139">
        <f>S74+T74+U74</f>
        <v>0</v>
      </c>
      <c r="S74" s="139">
        <f>S73+S9-S27</f>
        <v>0</v>
      </c>
      <c r="T74" s="139">
        <f>T73+T9-T27</f>
        <v>0</v>
      </c>
      <c r="U74" s="139"/>
    </row>
    <row r="75" spans="1:21" ht="18.75">
      <c r="A75" s="48"/>
      <c r="B75" s="140"/>
      <c r="C75" s="189"/>
      <c r="D75" s="189"/>
      <c r="E75" s="138"/>
      <c r="F75" s="139"/>
      <c r="G75" s="144"/>
      <c r="H75" s="144"/>
      <c r="I75" s="144"/>
      <c r="J75" s="144"/>
      <c r="K75" s="144"/>
      <c r="L75" s="144"/>
      <c r="M75" s="144"/>
      <c r="N75" s="85"/>
      <c r="O75" s="85"/>
      <c r="P75" s="85"/>
      <c r="Q75" s="85"/>
      <c r="R75" s="85"/>
      <c r="S75" s="85"/>
      <c r="T75" s="145"/>
      <c r="U75" s="85"/>
    </row>
  </sheetData>
  <sheetProtection/>
  <mergeCells count="15">
    <mergeCell ref="A1:M1"/>
    <mergeCell ref="A2:M2"/>
    <mergeCell ref="A3:M3"/>
    <mergeCell ref="A4:A7"/>
    <mergeCell ref="B4:B7"/>
    <mergeCell ref="C4:C7"/>
    <mergeCell ref="D4:D7"/>
    <mergeCell ref="E4:E7"/>
    <mergeCell ref="F4:F7"/>
    <mergeCell ref="G4:T4"/>
    <mergeCell ref="G5:T5"/>
    <mergeCell ref="G6:G7"/>
    <mergeCell ref="I6:I7"/>
    <mergeCell ref="L6:P6"/>
    <mergeCell ref="R6:U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PageLayoutView="0" workbookViewId="0" topLeftCell="A1">
      <selection activeCell="N33" sqref="N33"/>
    </sheetView>
  </sheetViews>
  <sheetFormatPr defaultColWidth="9.00390625" defaultRowHeight="12.75"/>
  <cols>
    <col min="1" max="1" width="2.375" style="4" customWidth="1"/>
    <col min="2" max="2" width="0" style="4" hidden="1" customWidth="1"/>
    <col min="3" max="3" width="36.375" style="4" customWidth="1"/>
    <col min="4" max="4" width="0" style="4" hidden="1" customWidth="1"/>
    <col min="5" max="5" width="9.625" style="4" customWidth="1"/>
    <col min="6" max="6" width="39.625" style="4" customWidth="1"/>
    <col min="7" max="7" width="15.00390625" style="4" customWidth="1"/>
    <col min="8" max="8" width="11.625" style="4" customWidth="1"/>
    <col min="9" max="9" width="5.875" style="4" customWidth="1"/>
    <col min="10" max="10" width="10.00390625" style="4" customWidth="1"/>
    <col min="11" max="11" width="20.75390625" style="4" customWidth="1"/>
    <col min="12" max="12" width="9.75390625" style="4" hidden="1" customWidth="1"/>
    <col min="13" max="13" width="3.25390625" style="4" customWidth="1"/>
    <col min="14" max="14" width="19.00390625" style="4" customWidth="1"/>
    <col min="15" max="15" width="13.875" style="4" customWidth="1"/>
    <col min="16" max="16" width="8.25390625" style="4" customWidth="1"/>
    <col min="17" max="17" width="12.125" style="4" customWidth="1"/>
    <col min="18" max="19" width="9.125" style="4" customWidth="1"/>
    <col min="20" max="20" width="16.125" style="4" customWidth="1"/>
    <col min="21" max="23" width="9.125" style="4" customWidth="1"/>
    <col min="24" max="24" width="19.00390625" style="4" customWidth="1"/>
    <col min="25" max="25" width="13.375" style="4" customWidth="1"/>
    <col min="26" max="16384" width="9.125" style="4" customWidth="1"/>
  </cols>
  <sheetData>
    <row r="1" spans="1:15" ht="12.7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3"/>
      <c r="O1" s="3"/>
    </row>
    <row r="2" spans="1:15" ht="12.75">
      <c r="A2" s="1"/>
      <c r="B2" s="3"/>
      <c r="C2" s="3"/>
      <c r="D2" s="3"/>
      <c r="E2" s="3"/>
      <c r="F2" s="3"/>
      <c r="G2" s="247"/>
      <c r="H2" s="247"/>
      <c r="I2" s="247"/>
      <c r="J2" s="247"/>
      <c r="K2" s="247"/>
      <c r="L2" s="247"/>
      <c r="M2" s="247"/>
      <c r="N2" s="3"/>
      <c r="O2" s="3"/>
    </row>
    <row r="3" spans="1:15" ht="12.75">
      <c r="A3" s="6"/>
      <c r="B3" s="6"/>
      <c r="C3" s="6"/>
      <c r="D3" s="6"/>
      <c r="E3" s="6"/>
      <c r="F3" s="6"/>
      <c r="G3" s="248" t="s">
        <v>84</v>
      </c>
      <c r="H3" s="248"/>
      <c r="I3" s="249"/>
      <c r="J3" s="249"/>
      <c r="K3" s="249"/>
      <c r="L3" s="249"/>
      <c r="M3" s="249"/>
      <c r="N3" s="3"/>
      <c r="O3" s="3"/>
    </row>
    <row r="4" spans="1:15" ht="44.25" customHeight="1">
      <c r="A4" s="6"/>
      <c r="B4" s="6"/>
      <c r="C4" s="6"/>
      <c r="D4" s="6"/>
      <c r="E4" s="6"/>
      <c r="F4" s="6"/>
      <c r="G4" s="248" t="s">
        <v>85</v>
      </c>
      <c r="H4" s="248"/>
      <c r="I4" s="249"/>
      <c r="J4" s="249"/>
      <c r="K4" s="249"/>
      <c r="L4" s="249"/>
      <c r="M4" s="249"/>
      <c r="N4" s="3"/>
      <c r="O4" s="3"/>
    </row>
    <row r="5" spans="1:15" ht="12.75">
      <c r="A5" s="6"/>
      <c r="B5" s="6"/>
      <c r="C5" s="6"/>
      <c r="D5" s="6"/>
      <c r="E5" s="6"/>
      <c r="F5" s="6"/>
      <c r="G5" s="248" t="s">
        <v>86</v>
      </c>
      <c r="H5" s="248"/>
      <c r="I5" s="249"/>
      <c r="J5" s="249"/>
      <c r="K5" s="249"/>
      <c r="L5" s="249"/>
      <c r="M5" s="249"/>
      <c r="N5" s="3"/>
      <c r="O5" s="3"/>
    </row>
    <row r="6" spans="1:15" ht="12.75">
      <c r="A6" s="6"/>
      <c r="B6" s="6"/>
      <c r="C6" s="6"/>
      <c r="D6" s="6"/>
      <c r="E6" s="6"/>
      <c r="F6" s="6"/>
      <c r="G6" s="7"/>
      <c r="H6" s="7"/>
      <c r="I6" s="8"/>
      <c r="J6" s="8"/>
      <c r="K6" s="8"/>
      <c r="L6" s="8"/>
      <c r="M6" s="8"/>
      <c r="N6" s="3"/>
      <c r="O6" s="3"/>
    </row>
    <row r="7" spans="1:15" ht="15.75">
      <c r="A7" s="6"/>
      <c r="B7" s="6"/>
      <c r="C7" s="6"/>
      <c r="D7" s="6"/>
      <c r="E7" s="24"/>
      <c r="F7" s="25"/>
      <c r="G7" s="250" t="s">
        <v>15</v>
      </c>
      <c r="H7" s="251"/>
      <c r="I7" s="251"/>
      <c r="J7" s="251"/>
      <c r="K7" s="251"/>
      <c r="L7" s="251"/>
      <c r="M7" s="25"/>
      <c r="N7" s="3"/>
      <c r="O7" s="3"/>
    </row>
    <row r="8" spans="1:15" ht="18" customHeight="1">
      <c r="A8" s="6"/>
      <c r="B8" s="6"/>
      <c r="C8" s="6"/>
      <c r="D8" s="6"/>
      <c r="E8" s="26"/>
      <c r="F8" s="27"/>
      <c r="G8" s="252" t="s">
        <v>30</v>
      </c>
      <c r="H8" s="253"/>
      <c r="I8" s="253"/>
      <c r="J8" s="253"/>
      <c r="K8" s="253"/>
      <c r="L8" s="253"/>
      <c r="M8" s="27"/>
      <c r="N8" s="3"/>
      <c r="O8" s="3"/>
    </row>
    <row r="9" spans="1:15" ht="15.75">
      <c r="A9" s="6"/>
      <c r="B9" s="6"/>
      <c r="C9" s="6"/>
      <c r="D9" s="6"/>
      <c r="E9" s="26"/>
      <c r="F9" s="27"/>
      <c r="G9" s="252" t="s">
        <v>328</v>
      </c>
      <c r="H9" s="253"/>
      <c r="I9" s="253"/>
      <c r="J9" s="253"/>
      <c r="K9" s="253"/>
      <c r="L9" s="253"/>
      <c r="M9" s="27"/>
      <c r="N9" s="3"/>
      <c r="O9" s="3"/>
    </row>
    <row r="10" spans="1:15" ht="15.75">
      <c r="A10" s="6"/>
      <c r="B10" s="6"/>
      <c r="C10" s="6"/>
      <c r="D10" s="6"/>
      <c r="E10" s="26"/>
      <c r="F10" s="27"/>
      <c r="G10" s="258" t="s">
        <v>25</v>
      </c>
      <c r="H10" s="259"/>
      <c r="I10" s="259"/>
      <c r="J10" s="259"/>
      <c r="K10" s="259"/>
      <c r="L10" s="259"/>
      <c r="M10" s="27"/>
      <c r="N10" s="3"/>
      <c r="O10" s="3"/>
    </row>
    <row r="11" spans="1:15" ht="12.75">
      <c r="A11" s="6"/>
      <c r="B11" s="6"/>
      <c r="C11" s="6"/>
      <c r="D11" s="6"/>
      <c r="E11" s="28"/>
      <c r="F11" s="29"/>
      <c r="G11" s="256" t="s">
        <v>329</v>
      </c>
      <c r="H11" s="257"/>
      <c r="I11" s="257"/>
      <c r="J11" s="257"/>
      <c r="K11" s="257"/>
      <c r="L11" s="257"/>
      <c r="M11" s="29"/>
      <c r="N11" s="3"/>
      <c r="O11" s="3"/>
    </row>
    <row r="12" spans="1:15" ht="12.75">
      <c r="A12" s="6"/>
      <c r="B12" s="6"/>
      <c r="C12" s="6"/>
      <c r="D12" s="6"/>
      <c r="E12" s="30"/>
      <c r="F12" s="31"/>
      <c r="G12" s="258" t="s">
        <v>16</v>
      </c>
      <c r="H12" s="259"/>
      <c r="I12" s="259"/>
      <c r="J12" s="259"/>
      <c r="K12" s="259"/>
      <c r="L12" s="259"/>
      <c r="M12" s="31"/>
      <c r="N12" s="3"/>
      <c r="O12" s="3"/>
    </row>
    <row r="13" spans="1:15" ht="12.75">
      <c r="A13" s="6"/>
      <c r="B13" s="6"/>
      <c r="C13" s="6"/>
      <c r="D13" s="6"/>
      <c r="E13" s="6"/>
      <c r="F13" s="6"/>
      <c r="G13" s="7"/>
      <c r="H13" s="7"/>
      <c r="I13" s="7"/>
      <c r="J13" s="7"/>
      <c r="K13" s="7"/>
      <c r="L13" s="7"/>
      <c r="M13" s="9"/>
      <c r="N13" s="3"/>
      <c r="O13" s="3"/>
    </row>
    <row r="14" spans="1:15" ht="18.75">
      <c r="A14" s="6"/>
      <c r="B14" s="6"/>
      <c r="C14" s="260" t="s">
        <v>3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3"/>
      <c r="O14" s="3"/>
    </row>
    <row r="15" spans="1:15" ht="15">
      <c r="A15" s="10" t="s">
        <v>0</v>
      </c>
      <c r="B15" s="6"/>
      <c r="C15" s="261" t="s">
        <v>87</v>
      </c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3"/>
      <c r="O15" s="3"/>
    </row>
    <row r="16" spans="1:15" ht="30" customHeight="1" thickBot="1">
      <c r="A16" s="6"/>
      <c r="B16" s="10"/>
      <c r="C16" s="266" t="s">
        <v>330</v>
      </c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3"/>
      <c r="O16" s="3"/>
    </row>
    <row r="17" spans="1:15" ht="18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33" t="s">
        <v>20</v>
      </c>
      <c r="L17" s="12"/>
      <c r="M17" s="12"/>
      <c r="N17" s="3"/>
      <c r="O17" s="3"/>
    </row>
    <row r="18" spans="1:15" ht="21" customHeight="1">
      <c r="A18" s="11"/>
      <c r="B18" s="12"/>
      <c r="C18" s="12"/>
      <c r="D18" s="12"/>
      <c r="E18" s="12"/>
      <c r="F18" s="12"/>
      <c r="G18" s="12"/>
      <c r="H18" s="12"/>
      <c r="I18" s="267" t="s">
        <v>88</v>
      </c>
      <c r="J18" s="268"/>
      <c r="K18" s="34"/>
      <c r="L18" s="12"/>
      <c r="M18" s="12"/>
      <c r="N18" s="3"/>
      <c r="O18" s="3"/>
    </row>
    <row r="19" spans="1:15" ht="21" customHeight="1">
      <c r="A19" s="11"/>
      <c r="B19" s="12"/>
      <c r="C19" s="12"/>
      <c r="D19" s="12"/>
      <c r="E19" s="12"/>
      <c r="F19" s="12"/>
      <c r="G19" s="12"/>
      <c r="H19" s="12"/>
      <c r="I19" s="90"/>
      <c r="J19" s="100" t="s">
        <v>21</v>
      </c>
      <c r="K19" s="155">
        <v>43463</v>
      </c>
      <c r="L19" s="12"/>
      <c r="M19" s="12"/>
      <c r="N19" s="3"/>
      <c r="O19" s="3"/>
    </row>
    <row r="20" spans="1:15" ht="36" customHeight="1">
      <c r="A20" s="11"/>
      <c r="B20" s="12"/>
      <c r="C20" s="12"/>
      <c r="D20" s="12"/>
      <c r="E20" s="12"/>
      <c r="F20" s="12"/>
      <c r="G20" s="12"/>
      <c r="H20" s="12"/>
      <c r="I20" s="228" t="s">
        <v>89</v>
      </c>
      <c r="J20" s="229"/>
      <c r="K20" s="99"/>
      <c r="L20" s="12"/>
      <c r="M20" s="12"/>
      <c r="N20" s="3"/>
      <c r="O20" s="3"/>
    </row>
    <row r="21" spans="1:15" ht="33" customHeight="1">
      <c r="A21" s="230" t="s">
        <v>331</v>
      </c>
      <c r="B21" s="231"/>
      <c r="C21" s="231"/>
      <c r="D21" s="231"/>
      <c r="E21" s="231"/>
      <c r="F21" s="231"/>
      <c r="G21" s="231"/>
      <c r="H21" s="231"/>
      <c r="I21" s="231"/>
      <c r="J21" s="37" t="s">
        <v>22</v>
      </c>
      <c r="K21" s="88">
        <v>24412078630010</v>
      </c>
      <c r="L21" s="23"/>
      <c r="M21" s="15"/>
      <c r="N21" s="3"/>
      <c r="O21" s="3"/>
    </row>
    <row r="22" spans="1:15" ht="51.75" customHeight="1">
      <c r="A22" s="230" t="s">
        <v>90</v>
      </c>
      <c r="B22" s="230"/>
      <c r="C22" s="230"/>
      <c r="D22" s="230"/>
      <c r="E22" s="230"/>
      <c r="F22" s="230"/>
      <c r="G22" s="230"/>
      <c r="H22" s="230"/>
      <c r="I22" s="230"/>
      <c r="J22" s="38"/>
      <c r="K22" s="89"/>
      <c r="L22" s="14"/>
      <c r="M22" s="15"/>
      <c r="N22" s="3"/>
      <c r="O22" s="3"/>
    </row>
    <row r="23" spans="1:15" ht="39" customHeight="1" thickBot="1">
      <c r="A23" s="22" t="s">
        <v>28</v>
      </c>
      <c r="B23" s="12"/>
      <c r="C23" s="13"/>
      <c r="D23" s="12"/>
      <c r="E23" s="12"/>
      <c r="F23" s="12"/>
      <c r="G23" s="12"/>
      <c r="H23" s="12"/>
      <c r="I23" s="12"/>
      <c r="J23" s="38"/>
      <c r="K23" s="36"/>
      <c r="L23" s="14"/>
      <c r="M23" s="16"/>
      <c r="N23" s="3"/>
      <c r="O23" s="3"/>
    </row>
    <row r="24" spans="1:15" ht="45" customHeight="1">
      <c r="A24" s="22" t="s">
        <v>29</v>
      </c>
      <c r="B24" s="12"/>
      <c r="C24" s="13"/>
      <c r="D24" s="12"/>
      <c r="E24" s="12"/>
      <c r="F24" s="12"/>
      <c r="G24" s="12"/>
      <c r="H24" s="12"/>
      <c r="I24" s="12"/>
      <c r="J24" s="38"/>
      <c r="K24" s="35"/>
      <c r="L24" s="14"/>
      <c r="M24" s="15"/>
      <c r="N24" s="3"/>
      <c r="O24" s="3"/>
    </row>
    <row r="25" spans="1:15" ht="45" customHeight="1">
      <c r="A25" s="230" t="s">
        <v>17</v>
      </c>
      <c r="B25" s="231"/>
      <c r="C25" s="231"/>
      <c r="D25" s="231"/>
      <c r="E25" s="231"/>
      <c r="F25" s="231"/>
      <c r="G25" s="231"/>
      <c r="H25" s="231"/>
      <c r="I25" s="231"/>
      <c r="J25" s="37" t="s">
        <v>91</v>
      </c>
      <c r="K25" s="101"/>
      <c r="L25" s="14"/>
      <c r="M25" s="15"/>
      <c r="N25" s="3"/>
      <c r="O25" s="3"/>
    </row>
    <row r="26" spans="1:15" ht="45" customHeight="1">
      <c r="A26" s="230" t="s">
        <v>27</v>
      </c>
      <c r="B26" s="231"/>
      <c r="C26" s="231"/>
      <c r="D26" s="231"/>
      <c r="E26" s="231"/>
      <c r="F26" s="231"/>
      <c r="G26" s="231"/>
      <c r="H26" s="231"/>
      <c r="I26" s="231"/>
      <c r="J26" s="232"/>
      <c r="K26" s="101">
        <v>40</v>
      </c>
      <c r="L26" s="14"/>
      <c r="M26" s="15"/>
      <c r="N26" s="3"/>
      <c r="O26" s="3"/>
    </row>
    <row r="27" spans="1:15" ht="31.5" customHeight="1" thickBot="1">
      <c r="A27" s="22" t="s">
        <v>1</v>
      </c>
      <c r="B27" s="12"/>
      <c r="C27" s="13"/>
      <c r="D27" s="12"/>
      <c r="E27" s="12"/>
      <c r="F27" s="12"/>
      <c r="G27" s="12"/>
      <c r="H27" s="12"/>
      <c r="I27" s="12"/>
      <c r="J27" s="38" t="s">
        <v>23</v>
      </c>
      <c r="K27" s="36">
        <v>383</v>
      </c>
      <c r="L27" s="14"/>
      <c r="M27" s="15"/>
      <c r="N27" s="3"/>
      <c r="O27" s="3"/>
    </row>
    <row r="28" spans="1:15" ht="48" customHeight="1">
      <c r="A28" s="20"/>
      <c r="B28" s="12"/>
      <c r="C28" s="10"/>
      <c r="D28" s="12"/>
      <c r="E28" s="12"/>
      <c r="F28" s="12"/>
      <c r="G28" s="12"/>
      <c r="H28" s="12"/>
      <c r="I28" s="12"/>
      <c r="J28" s="14"/>
      <c r="K28" s="32"/>
      <c r="L28" s="14"/>
      <c r="M28" s="15"/>
      <c r="N28" s="3"/>
      <c r="O28" s="3"/>
    </row>
    <row r="29" spans="1:15" s="74" customFormat="1" ht="15" customHeight="1">
      <c r="A29" s="269" t="s">
        <v>24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79"/>
      <c r="O29" s="79"/>
    </row>
    <row r="30" spans="1:15" ht="57" customHeight="1">
      <c r="A30" s="270" t="s">
        <v>332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3"/>
      <c r="O30" s="3"/>
    </row>
    <row r="31" spans="1:15" ht="6.75" customHeight="1">
      <c r="A31" s="254" t="s">
        <v>333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3"/>
      <c r="O31" s="3"/>
    </row>
    <row r="32" spans="1:15" ht="12.75">
      <c r="A32" s="254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3"/>
      <c r="O32" s="3"/>
    </row>
    <row r="33" spans="1:15" ht="167.25" customHeight="1">
      <c r="A33" s="254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3"/>
      <c r="O33" s="3"/>
    </row>
    <row r="34" spans="1:15" ht="32.25" customHeight="1">
      <c r="A34" s="234" t="s">
        <v>334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3"/>
      <c r="O34" s="3"/>
    </row>
    <row r="35" spans="1:15" ht="28.5" customHeight="1">
      <c r="A35" s="255" t="s">
        <v>92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3"/>
      <c r="O35" s="3"/>
    </row>
    <row r="36" spans="1:15" ht="12.75" customHeight="1">
      <c r="A36" s="227" t="s">
        <v>93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75"/>
      <c r="M36" s="75"/>
      <c r="N36" s="3"/>
      <c r="O36" s="3"/>
    </row>
    <row r="37" spans="1:15" ht="12.75" customHeight="1">
      <c r="A37" s="227" t="s">
        <v>94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75"/>
      <c r="M37" s="75"/>
      <c r="N37" s="3"/>
      <c r="O37" s="3"/>
    </row>
    <row r="38" spans="1:15" ht="12.75" customHeight="1">
      <c r="A38" s="227" t="s">
        <v>95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75"/>
      <c r="M38" s="75"/>
      <c r="N38" s="3"/>
      <c r="O38" s="3"/>
    </row>
    <row r="39" spans="1:15" ht="12.75" customHeight="1">
      <c r="A39" s="227" t="s">
        <v>96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75"/>
      <c r="M39" s="75"/>
      <c r="N39" s="3"/>
      <c r="O39" s="3"/>
    </row>
    <row r="40" spans="1:15" ht="12.75" customHeight="1">
      <c r="A40" s="227" t="s">
        <v>97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75"/>
      <c r="M40" s="75"/>
      <c r="N40" s="3"/>
      <c r="O40" s="3"/>
    </row>
    <row r="41" spans="1:15" ht="12.75" customHeight="1">
      <c r="A41" s="227" t="s">
        <v>98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75"/>
      <c r="M41" s="75"/>
      <c r="N41" s="3"/>
      <c r="O41" s="3"/>
    </row>
    <row r="42" spans="1:15" ht="12.75" customHeight="1">
      <c r="A42" s="227" t="s">
        <v>99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75"/>
      <c r="M42" s="75"/>
      <c r="N42" s="3"/>
      <c r="O42" s="3"/>
    </row>
    <row r="43" spans="1:15" ht="12.75" customHeight="1">
      <c r="A43" s="275" t="s">
        <v>123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75"/>
      <c r="M43" s="75"/>
      <c r="N43" s="3"/>
      <c r="O43" s="3"/>
    </row>
    <row r="44" spans="1:15" ht="12.75">
      <c r="A44" s="115">
        <v>1</v>
      </c>
      <c r="B44" s="115"/>
      <c r="C44" s="115" t="s">
        <v>31</v>
      </c>
      <c r="D44" s="115"/>
      <c r="E44" s="115"/>
      <c r="F44" s="115"/>
      <c r="G44" s="115"/>
      <c r="H44" s="115"/>
      <c r="I44" s="115"/>
      <c r="J44" s="115"/>
      <c r="K44" s="115"/>
      <c r="L44" s="75"/>
      <c r="M44" s="75"/>
      <c r="N44" s="3"/>
      <c r="O44" s="3"/>
    </row>
    <row r="45" spans="1:15" ht="67.5" customHeight="1">
      <c r="A45" s="233" t="s">
        <v>125</v>
      </c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75"/>
      <c r="M45" s="75"/>
      <c r="N45" s="3"/>
      <c r="O45" s="3"/>
    </row>
    <row r="46" spans="1:15" ht="66.75" customHeight="1">
      <c r="A46" s="233" t="s">
        <v>124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87"/>
      <c r="M46" s="87"/>
      <c r="N46" s="3"/>
      <c r="O46" s="3"/>
    </row>
    <row r="47" spans="1:15" ht="12.75">
      <c r="A47" s="115">
        <v>2</v>
      </c>
      <c r="B47" s="115"/>
      <c r="C47" s="115" t="s">
        <v>32</v>
      </c>
      <c r="D47" s="116"/>
      <c r="E47" s="116"/>
      <c r="F47" s="115"/>
      <c r="G47" s="115"/>
      <c r="H47" s="115"/>
      <c r="I47" s="115"/>
      <c r="J47" s="115"/>
      <c r="K47" s="115"/>
      <c r="L47" s="75"/>
      <c r="M47" s="75"/>
      <c r="N47" s="3"/>
      <c r="O47" s="3"/>
    </row>
    <row r="48" spans="1:15" ht="13.5" customHeight="1">
      <c r="A48" s="233" t="s">
        <v>126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75"/>
      <c r="M48" s="75"/>
      <c r="N48" s="3"/>
      <c r="O48" s="3"/>
    </row>
    <row r="49" spans="1:15" ht="12.75" customHeight="1">
      <c r="A49" s="276" t="s">
        <v>127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75"/>
      <c r="M49" s="75"/>
      <c r="N49" s="3"/>
      <c r="O49" s="3"/>
    </row>
    <row r="50" spans="1:15" ht="12.75" customHeight="1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87"/>
      <c r="M50" s="87"/>
      <c r="N50" s="3"/>
      <c r="O50" s="3"/>
    </row>
    <row r="51" spans="1:15" ht="39.75" customHeight="1">
      <c r="A51" s="149"/>
      <c r="B51" s="149"/>
      <c r="C51" s="226" t="s">
        <v>164</v>
      </c>
      <c r="D51" s="226"/>
      <c r="E51" s="226"/>
      <c r="F51" s="226"/>
      <c r="G51" s="115"/>
      <c r="H51" s="115"/>
      <c r="I51" s="115"/>
      <c r="J51" s="115"/>
      <c r="K51" s="115"/>
      <c r="L51" s="75"/>
      <c r="M51" s="75"/>
      <c r="N51" s="3"/>
      <c r="O51" s="3"/>
    </row>
    <row r="52" spans="1:15" ht="17.25" customHeight="1">
      <c r="A52" s="149"/>
      <c r="B52" s="149"/>
      <c r="C52" s="226" t="s">
        <v>300</v>
      </c>
      <c r="D52" s="226"/>
      <c r="E52" s="226"/>
      <c r="F52" s="226"/>
      <c r="G52" s="115"/>
      <c r="H52" s="115"/>
      <c r="I52" s="115"/>
      <c r="J52" s="115"/>
      <c r="K52" s="115"/>
      <c r="L52" s="75"/>
      <c r="M52" s="75"/>
      <c r="N52" s="3"/>
      <c r="O52" s="3"/>
    </row>
    <row r="53" spans="1:15" ht="15.75" customHeight="1" thickBot="1">
      <c r="A53" s="149"/>
      <c r="B53" s="149"/>
      <c r="C53" s="150"/>
      <c r="D53" s="149"/>
      <c r="E53" s="149"/>
      <c r="F53" s="149"/>
      <c r="G53" s="148"/>
      <c r="H53" s="148"/>
      <c r="I53" s="148"/>
      <c r="J53" s="148"/>
      <c r="K53" s="148"/>
      <c r="L53" s="148"/>
      <c r="M53" s="148"/>
      <c r="N53" s="3"/>
      <c r="O53" s="3"/>
    </row>
    <row r="54" spans="1:15" ht="14.25">
      <c r="A54" s="18"/>
      <c r="B54" s="5"/>
      <c r="C54" s="263" t="s">
        <v>4</v>
      </c>
      <c r="D54" s="264"/>
      <c r="E54" s="265"/>
      <c r="F54" s="21" t="s">
        <v>18</v>
      </c>
      <c r="G54" s="5"/>
      <c r="H54" s="5"/>
      <c r="I54" s="5"/>
      <c r="J54" s="5"/>
      <c r="K54" s="5"/>
      <c r="L54" s="5"/>
      <c r="M54" s="5"/>
      <c r="N54" s="3"/>
      <c r="O54" s="3"/>
    </row>
    <row r="55" spans="1:15" ht="12.75">
      <c r="A55" s="18"/>
      <c r="B55" s="5"/>
      <c r="C55" s="240" t="s">
        <v>5</v>
      </c>
      <c r="D55" s="241"/>
      <c r="E55" s="242"/>
      <c r="F55" s="76">
        <v>13720456.56</v>
      </c>
      <c r="G55" s="5"/>
      <c r="H55" s="5"/>
      <c r="I55" s="5"/>
      <c r="J55" s="5"/>
      <c r="K55" s="5"/>
      <c r="L55" s="5"/>
      <c r="M55" s="5"/>
      <c r="N55" s="3"/>
      <c r="O55" s="3"/>
    </row>
    <row r="56" spans="1:15" ht="12.75">
      <c r="A56" s="18"/>
      <c r="B56" s="5"/>
      <c r="C56" s="236" t="s">
        <v>6</v>
      </c>
      <c r="D56" s="237"/>
      <c r="E56" s="238"/>
      <c r="F56" s="77"/>
      <c r="G56" s="5"/>
      <c r="H56" s="5"/>
      <c r="I56" s="5"/>
      <c r="J56" s="5"/>
      <c r="K56" s="5"/>
      <c r="L56" s="5"/>
      <c r="M56" s="5"/>
      <c r="N56" s="3"/>
      <c r="O56" s="3"/>
    </row>
    <row r="57" spans="1:15" ht="30.75" customHeight="1">
      <c r="A57" s="18"/>
      <c r="B57" s="5"/>
      <c r="C57" s="236" t="s">
        <v>103</v>
      </c>
      <c r="D57" s="237"/>
      <c r="E57" s="238"/>
      <c r="F57" s="77">
        <v>4239530.9</v>
      </c>
      <c r="G57" s="5"/>
      <c r="H57" s="5"/>
      <c r="I57" s="5"/>
      <c r="J57" s="5"/>
      <c r="K57" s="5"/>
      <c r="L57" s="5"/>
      <c r="M57" s="5"/>
      <c r="N57" s="3"/>
      <c r="O57" s="3"/>
    </row>
    <row r="58" spans="1:15" ht="12.75">
      <c r="A58" s="18"/>
      <c r="B58" s="5"/>
      <c r="C58" s="236" t="s">
        <v>7</v>
      </c>
      <c r="D58" s="237"/>
      <c r="E58" s="238"/>
      <c r="F58" s="77"/>
      <c r="G58" s="5"/>
      <c r="H58" s="5"/>
      <c r="I58" s="5"/>
      <c r="J58" s="5"/>
      <c r="K58" s="5"/>
      <c r="L58" s="5"/>
      <c r="M58" s="5"/>
      <c r="N58" s="3"/>
      <c r="O58" s="3"/>
    </row>
    <row r="59" spans="1:15" ht="45" customHeight="1">
      <c r="A59" s="18"/>
      <c r="B59" s="5"/>
      <c r="C59" s="236" t="s">
        <v>104</v>
      </c>
      <c r="D59" s="237"/>
      <c r="E59" s="238"/>
      <c r="F59" s="77">
        <v>4239530.9</v>
      </c>
      <c r="G59" s="5"/>
      <c r="H59" s="5"/>
      <c r="I59" s="5"/>
      <c r="J59" s="5"/>
      <c r="K59" s="5"/>
      <c r="L59" s="5"/>
      <c r="M59" s="5"/>
      <c r="N59" s="3"/>
      <c r="O59" s="3"/>
    </row>
    <row r="60" spans="1:15" ht="42" customHeight="1">
      <c r="A60" s="18"/>
      <c r="B60" s="5"/>
      <c r="C60" s="236" t="s">
        <v>105</v>
      </c>
      <c r="D60" s="237"/>
      <c r="E60" s="238"/>
      <c r="F60" s="77"/>
      <c r="G60" s="5"/>
      <c r="H60" s="5"/>
      <c r="I60" s="5"/>
      <c r="J60" s="5"/>
      <c r="K60" s="5"/>
      <c r="L60" s="5"/>
      <c r="M60" s="5"/>
      <c r="N60" s="3"/>
      <c r="O60" s="3"/>
    </row>
    <row r="61" spans="1:15" ht="51" customHeight="1">
      <c r="A61" s="18"/>
      <c r="B61" s="5"/>
      <c r="C61" s="236" t="s">
        <v>106</v>
      </c>
      <c r="D61" s="237"/>
      <c r="E61" s="238"/>
      <c r="F61" s="77"/>
      <c r="G61" s="5"/>
      <c r="H61" s="5"/>
      <c r="I61" s="5"/>
      <c r="J61" s="5"/>
      <c r="K61" s="5"/>
      <c r="L61" s="5"/>
      <c r="M61" s="5"/>
      <c r="N61" s="3"/>
      <c r="O61" s="3"/>
    </row>
    <row r="62" spans="1:15" ht="42" customHeight="1">
      <c r="A62" s="18"/>
      <c r="B62" s="5"/>
      <c r="C62" s="236" t="s">
        <v>107</v>
      </c>
      <c r="D62" s="237"/>
      <c r="E62" s="238"/>
      <c r="F62" s="102">
        <v>308575.43</v>
      </c>
      <c r="G62" s="5"/>
      <c r="H62" s="5"/>
      <c r="I62" s="5"/>
      <c r="J62" s="5"/>
      <c r="K62" s="5"/>
      <c r="L62" s="5"/>
      <c r="M62" s="5"/>
      <c r="N62" s="3"/>
      <c r="O62" s="3"/>
    </row>
    <row r="63" spans="1:15" ht="35.25" customHeight="1">
      <c r="A63" s="18"/>
      <c r="B63" s="5"/>
      <c r="C63" s="236" t="s">
        <v>108</v>
      </c>
      <c r="D63" s="237"/>
      <c r="E63" s="238"/>
      <c r="F63" s="77">
        <v>7728810.64</v>
      </c>
      <c r="G63" s="5"/>
      <c r="H63" s="5"/>
      <c r="I63" s="5"/>
      <c r="J63" s="5"/>
      <c r="K63" s="5"/>
      <c r="L63" s="5"/>
      <c r="M63" s="5"/>
      <c r="N63" s="3"/>
      <c r="O63" s="3"/>
    </row>
    <row r="64" spans="1:13" ht="13.5" thickBot="1">
      <c r="A64" s="18"/>
      <c r="B64" s="5"/>
      <c r="C64" s="243" t="s">
        <v>7</v>
      </c>
      <c r="D64" s="244"/>
      <c r="E64" s="245"/>
      <c r="F64" s="77"/>
      <c r="G64" s="5"/>
      <c r="H64" s="5"/>
      <c r="I64" s="5"/>
      <c r="J64" s="5"/>
      <c r="K64" s="5"/>
      <c r="L64" s="5"/>
      <c r="M64" s="5"/>
    </row>
    <row r="65" spans="1:13" ht="33" customHeight="1">
      <c r="A65" s="18"/>
      <c r="B65" s="5"/>
      <c r="C65" s="279" t="s">
        <v>8</v>
      </c>
      <c r="D65" s="280"/>
      <c r="E65" s="281"/>
      <c r="F65" s="77">
        <v>5800338.23</v>
      </c>
      <c r="G65" s="5"/>
      <c r="H65" s="5"/>
      <c r="I65" s="5"/>
      <c r="J65" s="5"/>
      <c r="K65" s="5"/>
      <c r="L65" s="5"/>
      <c r="M65" s="5"/>
    </row>
    <row r="66" spans="1:13" ht="48" customHeight="1">
      <c r="A66" s="18"/>
      <c r="B66" s="5"/>
      <c r="C66" s="236" t="s">
        <v>9</v>
      </c>
      <c r="D66" s="237"/>
      <c r="E66" s="238"/>
      <c r="F66" s="102">
        <v>24085.58</v>
      </c>
      <c r="G66" s="5"/>
      <c r="H66" s="5"/>
      <c r="I66" s="5"/>
      <c r="J66" s="5"/>
      <c r="K66" s="5"/>
      <c r="L66" s="5"/>
      <c r="M66" s="5"/>
    </row>
    <row r="67" spans="1:13" ht="12.75">
      <c r="A67" s="18"/>
      <c r="B67" s="5"/>
      <c r="C67" s="240" t="s">
        <v>10</v>
      </c>
      <c r="D67" s="241"/>
      <c r="E67" s="242"/>
      <c r="F67" s="77">
        <v>95639085.47</v>
      </c>
      <c r="G67" s="5"/>
      <c r="H67" s="5"/>
      <c r="I67" s="5"/>
      <c r="J67" s="5"/>
      <c r="K67" s="5"/>
      <c r="L67" s="5"/>
      <c r="M67" s="5"/>
    </row>
    <row r="68" spans="1:13" ht="12.75">
      <c r="A68" s="18"/>
      <c r="B68" s="5"/>
      <c r="C68" s="236" t="s">
        <v>6</v>
      </c>
      <c r="D68" s="237"/>
      <c r="E68" s="238"/>
      <c r="F68" s="77"/>
      <c r="G68" s="5"/>
      <c r="H68" s="5"/>
      <c r="I68" s="5"/>
      <c r="J68" s="5"/>
      <c r="K68" s="5"/>
      <c r="L68" s="5"/>
      <c r="M68" s="5"/>
    </row>
    <row r="69" spans="1:13" ht="12.75">
      <c r="A69" s="18"/>
      <c r="B69" s="5"/>
      <c r="C69" s="271" t="s">
        <v>109</v>
      </c>
      <c r="D69" s="272"/>
      <c r="E69" s="273"/>
      <c r="F69" s="77">
        <v>31157.46</v>
      </c>
      <c r="G69" s="5"/>
      <c r="H69" s="5"/>
      <c r="I69" s="5"/>
      <c r="J69" s="5"/>
      <c r="K69" s="5"/>
      <c r="L69" s="5"/>
      <c r="M69" s="5"/>
    </row>
    <row r="70" spans="1:13" ht="26.25" customHeight="1">
      <c r="A70" s="18"/>
      <c r="B70" s="5"/>
      <c r="C70" s="271" t="s">
        <v>110</v>
      </c>
      <c r="D70" s="272"/>
      <c r="E70" s="273"/>
      <c r="F70" s="77">
        <v>31157.46</v>
      </c>
      <c r="G70" s="5"/>
      <c r="H70" s="5"/>
      <c r="I70" s="5"/>
      <c r="J70" s="5"/>
      <c r="K70" s="5"/>
      <c r="L70" s="5"/>
      <c r="M70" s="5"/>
    </row>
    <row r="71" spans="1:13" ht="39" customHeight="1">
      <c r="A71" s="18"/>
      <c r="B71" s="5"/>
      <c r="C71" s="271" t="s">
        <v>255</v>
      </c>
      <c r="D71" s="272"/>
      <c r="E71" s="273"/>
      <c r="F71" s="77">
        <v>0</v>
      </c>
      <c r="G71" s="5"/>
      <c r="H71" s="5"/>
      <c r="I71" s="5"/>
      <c r="J71" s="5"/>
      <c r="K71" s="5"/>
      <c r="L71" s="5"/>
      <c r="M71" s="5"/>
    </row>
    <row r="72" spans="1:13" ht="12.75">
      <c r="A72" s="18"/>
      <c r="B72" s="5"/>
      <c r="C72" s="271" t="s">
        <v>111</v>
      </c>
      <c r="D72" s="272"/>
      <c r="E72" s="273"/>
      <c r="F72" s="77">
        <v>0</v>
      </c>
      <c r="G72" s="5"/>
      <c r="H72" s="5"/>
      <c r="I72" s="5"/>
      <c r="J72" s="5"/>
      <c r="K72" s="5"/>
      <c r="L72" s="5"/>
      <c r="M72" s="5"/>
    </row>
    <row r="73" spans="1:13" ht="39" customHeight="1">
      <c r="A73" s="18"/>
      <c r="B73" s="5"/>
      <c r="C73" s="271" t="s">
        <v>112</v>
      </c>
      <c r="D73" s="272"/>
      <c r="E73" s="273"/>
      <c r="F73" s="77">
        <v>0</v>
      </c>
      <c r="G73" s="5"/>
      <c r="H73" s="5"/>
      <c r="I73" s="5"/>
      <c r="J73" s="5"/>
      <c r="K73" s="5"/>
      <c r="L73" s="5"/>
      <c r="M73" s="5"/>
    </row>
    <row r="74" spans="1:13" ht="39" customHeight="1">
      <c r="A74" s="18"/>
      <c r="B74" s="5"/>
      <c r="C74" s="271" t="s">
        <v>113</v>
      </c>
      <c r="D74" s="272"/>
      <c r="E74" s="273"/>
      <c r="F74" s="77">
        <v>0</v>
      </c>
      <c r="G74" s="5"/>
      <c r="H74" s="5"/>
      <c r="I74" s="5"/>
      <c r="J74" s="5"/>
      <c r="K74" s="5"/>
      <c r="L74" s="5"/>
      <c r="M74" s="5"/>
    </row>
    <row r="75" spans="1:13" ht="39" customHeight="1">
      <c r="A75" s="18"/>
      <c r="B75" s="5"/>
      <c r="C75" s="271" t="s">
        <v>114</v>
      </c>
      <c r="D75" s="272"/>
      <c r="E75" s="273"/>
      <c r="F75" s="77">
        <v>95607928.01</v>
      </c>
      <c r="G75" s="5"/>
      <c r="H75" s="5"/>
      <c r="I75" s="5"/>
      <c r="J75" s="5"/>
      <c r="K75" s="5"/>
      <c r="L75" s="5"/>
      <c r="M75" s="5"/>
    </row>
    <row r="76" spans="1:13" ht="39" customHeight="1">
      <c r="A76" s="18"/>
      <c r="B76" s="5"/>
      <c r="C76" s="111" t="s">
        <v>7</v>
      </c>
      <c r="D76" s="112"/>
      <c r="E76" s="113"/>
      <c r="F76" s="77"/>
      <c r="G76" s="5"/>
      <c r="H76" s="5"/>
      <c r="I76" s="5"/>
      <c r="J76" s="5"/>
      <c r="K76" s="5"/>
      <c r="L76" s="5"/>
      <c r="M76" s="5"/>
    </row>
    <row r="77" spans="1:13" ht="26.25" customHeight="1">
      <c r="A77" s="18"/>
      <c r="B77" s="5"/>
      <c r="C77" s="236" t="s">
        <v>115</v>
      </c>
      <c r="D77" s="237"/>
      <c r="E77" s="238"/>
      <c r="F77" s="77">
        <v>97169151</v>
      </c>
      <c r="G77" s="5"/>
      <c r="H77" s="5"/>
      <c r="I77" s="5"/>
      <c r="J77" s="5"/>
      <c r="K77" s="5"/>
      <c r="L77" s="5"/>
      <c r="M77" s="5"/>
    </row>
    <row r="78" spans="1:13" ht="48.75" customHeight="1">
      <c r="A78" s="18"/>
      <c r="B78" s="5"/>
      <c r="C78" s="236" t="s">
        <v>116</v>
      </c>
      <c r="D78" s="237"/>
      <c r="E78" s="238"/>
      <c r="F78" s="77">
        <v>15080.01</v>
      </c>
      <c r="G78" s="5"/>
      <c r="H78" s="5"/>
      <c r="I78" s="5"/>
      <c r="J78" s="5"/>
      <c r="K78" s="5"/>
      <c r="L78" s="5"/>
      <c r="M78" s="5"/>
    </row>
    <row r="79" spans="1:13" ht="21" customHeight="1">
      <c r="A79" s="18"/>
      <c r="B79" s="5"/>
      <c r="C79" s="271" t="s">
        <v>7</v>
      </c>
      <c r="D79" s="272"/>
      <c r="E79" s="273"/>
      <c r="F79" s="77"/>
      <c r="G79" s="5"/>
      <c r="H79" s="5"/>
      <c r="I79" s="5"/>
      <c r="J79" s="5"/>
      <c r="K79" s="5"/>
      <c r="L79" s="5"/>
      <c r="M79" s="5"/>
    </row>
    <row r="80" spans="1:13" ht="48.75" customHeight="1">
      <c r="A80" s="18"/>
      <c r="B80" s="5"/>
      <c r="C80" s="271" t="s">
        <v>117</v>
      </c>
      <c r="D80" s="272"/>
      <c r="E80" s="273"/>
      <c r="F80" s="77">
        <v>35783.81</v>
      </c>
      <c r="G80" s="5"/>
      <c r="H80" s="5"/>
      <c r="I80" s="5"/>
      <c r="J80" s="5"/>
      <c r="K80" s="5"/>
      <c r="L80" s="5"/>
      <c r="M80" s="5"/>
    </row>
    <row r="81" spans="1:13" ht="19.5" customHeight="1">
      <c r="A81" s="18"/>
      <c r="B81" s="5"/>
      <c r="C81" s="271" t="s">
        <v>7</v>
      </c>
      <c r="D81" s="272"/>
      <c r="E81" s="273"/>
      <c r="F81" s="77"/>
      <c r="G81" s="5"/>
      <c r="H81" s="5"/>
      <c r="I81" s="5"/>
      <c r="J81" s="5"/>
      <c r="K81" s="5"/>
      <c r="L81" s="5"/>
      <c r="M81" s="5"/>
    </row>
    <row r="82" spans="1:13" ht="27" customHeight="1">
      <c r="A82" s="18"/>
      <c r="B82" s="5"/>
      <c r="C82" s="271" t="s">
        <v>256</v>
      </c>
      <c r="D82" s="272"/>
      <c r="E82" s="273"/>
      <c r="F82" s="77">
        <v>627.68</v>
      </c>
      <c r="G82" s="5"/>
      <c r="H82" s="5"/>
      <c r="I82" s="5"/>
      <c r="J82" s="5"/>
      <c r="K82" s="5"/>
      <c r="L82" s="5"/>
      <c r="M82" s="5"/>
    </row>
    <row r="83" spans="1:13" ht="21" customHeight="1">
      <c r="A83" s="18"/>
      <c r="B83" s="5"/>
      <c r="C83" s="240" t="s">
        <v>11</v>
      </c>
      <c r="D83" s="241"/>
      <c r="E83" s="242"/>
      <c r="F83" s="77">
        <v>0</v>
      </c>
      <c r="G83" s="5"/>
      <c r="H83" s="5"/>
      <c r="I83" s="5"/>
      <c r="J83" s="5"/>
      <c r="K83" s="5"/>
      <c r="L83" s="5"/>
      <c r="M83" s="5"/>
    </row>
    <row r="84" spans="1:13" ht="12.75">
      <c r="A84" s="18"/>
      <c r="B84" s="5"/>
      <c r="C84" s="236" t="s">
        <v>6</v>
      </c>
      <c r="D84" s="237"/>
      <c r="E84" s="238"/>
      <c r="F84" s="77"/>
      <c r="G84" s="5"/>
      <c r="H84" s="5"/>
      <c r="I84" s="5"/>
      <c r="J84" s="5"/>
      <c r="K84" s="5"/>
      <c r="L84" s="5"/>
      <c r="M84" s="5"/>
    </row>
    <row r="85" spans="1:13" ht="12.75">
      <c r="A85" s="18"/>
      <c r="B85" s="5"/>
      <c r="C85" s="271" t="s">
        <v>118</v>
      </c>
      <c r="D85" s="272"/>
      <c r="E85" s="273"/>
      <c r="F85" s="77"/>
      <c r="G85" s="5"/>
      <c r="H85" s="5"/>
      <c r="I85" s="5"/>
      <c r="J85" s="5"/>
      <c r="K85" s="5"/>
      <c r="L85" s="5"/>
      <c r="M85" s="5"/>
    </row>
    <row r="86" spans="1:13" ht="12.75">
      <c r="A86" s="18"/>
      <c r="B86" s="5"/>
      <c r="C86" s="236" t="s">
        <v>119</v>
      </c>
      <c r="D86" s="237"/>
      <c r="E86" s="238"/>
      <c r="F86" s="77">
        <v>0</v>
      </c>
      <c r="G86" s="5"/>
      <c r="H86" s="5"/>
      <c r="I86" s="5"/>
      <c r="J86" s="5"/>
      <c r="K86" s="5"/>
      <c r="L86" s="5"/>
      <c r="M86" s="5"/>
    </row>
    <row r="87" spans="1:13" ht="12.75">
      <c r="A87" s="18"/>
      <c r="B87" s="5"/>
      <c r="C87" s="284" t="s">
        <v>7</v>
      </c>
      <c r="D87" s="285"/>
      <c r="E87" s="286"/>
      <c r="F87" s="77"/>
      <c r="G87" s="5"/>
      <c r="H87" s="5"/>
      <c r="I87" s="5"/>
      <c r="J87" s="5"/>
      <c r="K87" s="5"/>
      <c r="L87" s="5"/>
      <c r="M87" s="5"/>
    </row>
    <row r="88" spans="1:13" ht="12.75">
      <c r="A88" s="18"/>
      <c r="B88" s="5"/>
      <c r="C88" s="271" t="s">
        <v>120</v>
      </c>
      <c r="D88" s="272"/>
      <c r="E88" s="273"/>
      <c r="F88" s="77">
        <v>0</v>
      </c>
      <c r="G88" s="5"/>
      <c r="H88" s="5"/>
      <c r="I88" s="5"/>
      <c r="J88" s="5"/>
      <c r="K88" s="5"/>
      <c r="L88" s="5"/>
      <c r="M88" s="5"/>
    </row>
    <row r="89" spans="1:13" ht="41.25" customHeight="1">
      <c r="A89" s="18"/>
      <c r="B89" s="5"/>
      <c r="C89" s="236" t="s">
        <v>121</v>
      </c>
      <c r="D89" s="237"/>
      <c r="E89" s="238"/>
      <c r="F89" s="77">
        <v>0</v>
      </c>
      <c r="G89" s="5"/>
      <c r="H89" s="5"/>
      <c r="I89" s="5"/>
      <c r="J89" s="5"/>
      <c r="K89" s="5"/>
      <c r="L89" s="5"/>
      <c r="M89" s="5"/>
    </row>
    <row r="90" spans="1:13" ht="41.25" customHeight="1">
      <c r="A90" s="18"/>
      <c r="B90" s="5"/>
      <c r="C90" s="271" t="s">
        <v>7</v>
      </c>
      <c r="D90" s="272"/>
      <c r="E90" s="273"/>
      <c r="F90" s="114">
        <v>0</v>
      </c>
      <c r="G90" s="5"/>
      <c r="H90" s="5"/>
      <c r="I90" s="5"/>
      <c r="J90" s="5"/>
      <c r="K90" s="5"/>
      <c r="L90" s="5"/>
      <c r="M90" s="5"/>
    </row>
    <row r="91" spans="1:13" ht="57.75" customHeight="1" thickBot="1">
      <c r="A91" s="18"/>
      <c r="B91" s="5"/>
      <c r="C91" s="243" t="s">
        <v>122</v>
      </c>
      <c r="D91" s="244"/>
      <c r="E91" s="245"/>
      <c r="F91" s="78">
        <v>0</v>
      </c>
      <c r="G91" s="5"/>
      <c r="H91" s="5"/>
      <c r="I91" s="5"/>
      <c r="J91" s="5"/>
      <c r="K91" s="5"/>
      <c r="L91" s="5"/>
      <c r="M91" s="5"/>
    </row>
    <row r="92" spans="1:13" ht="41.25" customHeight="1" thickBot="1">
      <c r="A92" s="18"/>
      <c r="B92" s="5"/>
      <c r="C92" s="243" t="s">
        <v>7</v>
      </c>
      <c r="D92" s="244"/>
      <c r="E92" s="245"/>
      <c r="F92" s="78">
        <v>0</v>
      </c>
      <c r="G92" s="5"/>
      <c r="H92" s="5"/>
      <c r="I92" s="5"/>
      <c r="J92" s="5"/>
      <c r="K92" s="5"/>
      <c r="L92" s="5"/>
      <c r="M92" s="5"/>
    </row>
    <row r="93" ht="48.75" customHeight="1">
      <c r="C93" s="39"/>
    </row>
    <row r="94" spans="1:14" ht="51" customHeight="1">
      <c r="A94" s="239" t="s">
        <v>163</v>
      </c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</row>
    <row r="95" spans="1:14" ht="12.75" hidden="1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2"/>
      <c r="M95" s="152"/>
      <c r="N95" s="152"/>
    </row>
    <row r="96" spans="1:14" ht="12.75">
      <c r="A96" s="151" t="s">
        <v>33</v>
      </c>
      <c r="B96" s="151"/>
      <c r="C96" s="151" t="s">
        <v>254</v>
      </c>
      <c r="D96" s="151"/>
      <c r="E96" s="151"/>
      <c r="F96" s="151"/>
      <c r="G96" s="151"/>
      <c r="H96" s="151"/>
      <c r="I96" s="151"/>
      <c r="J96" s="151"/>
      <c r="K96" s="151"/>
      <c r="L96" s="152"/>
      <c r="M96" s="152"/>
      <c r="N96" s="152"/>
    </row>
    <row r="97" spans="1:14" ht="12.75">
      <c r="A97" s="151">
        <v>2</v>
      </c>
      <c r="B97" s="151"/>
      <c r="C97" s="153" t="s">
        <v>327</v>
      </c>
      <c r="D97" s="151"/>
      <c r="E97" s="151"/>
      <c r="F97" s="151"/>
      <c r="G97" s="151"/>
      <c r="H97" s="151"/>
      <c r="I97" s="151"/>
      <c r="J97" s="151"/>
      <c r="K97" s="151"/>
      <c r="L97" s="152"/>
      <c r="M97" s="152"/>
      <c r="N97" s="152"/>
    </row>
    <row r="98" spans="1:14" ht="12.75">
      <c r="A98" s="151"/>
      <c r="B98" s="151"/>
      <c r="C98" s="151" t="s">
        <v>7</v>
      </c>
      <c r="D98" s="151"/>
      <c r="E98" s="151"/>
      <c r="F98" s="151"/>
      <c r="G98" s="151"/>
      <c r="H98" s="151"/>
      <c r="I98" s="151"/>
      <c r="J98" s="151"/>
      <c r="K98" s="151"/>
      <c r="L98" s="152"/>
      <c r="M98" s="152"/>
      <c r="N98" s="152"/>
    </row>
    <row r="99" spans="1:14" ht="12.75">
      <c r="A99" s="235" t="s">
        <v>318</v>
      </c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152"/>
      <c r="M99" s="152"/>
      <c r="N99" s="152"/>
    </row>
    <row r="100" spans="1:14" ht="18.75" customHeight="1">
      <c r="A100" s="154" t="s">
        <v>319</v>
      </c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2"/>
      <c r="M100" s="152"/>
      <c r="N100" s="152"/>
    </row>
    <row r="101" spans="1:14" ht="19.5" customHeight="1">
      <c r="A101" s="277" t="s">
        <v>320</v>
      </c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152"/>
      <c r="M101" s="152"/>
      <c r="N101" s="152"/>
    </row>
    <row r="102" spans="1:14" ht="27.75" customHeight="1">
      <c r="A102" s="235" t="s">
        <v>321</v>
      </c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152"/>
      <c r="M102" s="152"/>
      <c r="N102" s="152"/>
    </row>
    <row r="103" spans="1:14" ht="1.5" customHeight="1">
      <c r="A103" s="274" t="s">
        <v>35</v>
      </c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152"/>
      <c r="M103" s="152"/>
      <c r="N103" s="152"/>
    </row>
    <row r="104" spans="1:14" ht="29.25" customHeight="1" hidden="1">
      <c r="A104" s="235" t="s">
        <v>36</v>
      </c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152"/>
      <c r="M104" s="152"/>
      <c r="N104" s="152"/>
    </row>
    <row r="105" spans="1:14" ht="1.5" customHeight="1">
      <c r="A105" s="235" t="s">
        <v>37</v>
      </c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152"/>
      <c r="M105" s="152"/>
      <c r="N105" s="152"/>
    </row>
    <row r="106" spans="1:14" ht="26.25" customHeight="1">
      <c r="A106" s="235" t="s">
        <v>322</v>
      </c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152"/>
      <c r="M106" s="152"/>
      <c r="N106" s="152"/>
    </row>
    <row r="107" spans="1:14" ht="24.75" customHeight="1">
      <c r="A107" s="282" t="s">
        <v>323</v>
      </c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152"/>
      <c r="M107" s="152"/>
      <c r="N107" s="152"/>
    </row>
    <row r="108" spans="1:14" ht="16.5" customHeight="1">
      <c r="A108" s="282" t="s">
        <v>324</v>
      </c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152"/>
      <c r="M108" s="152"/>
      <c r="N108" s="152"/>
    </row>
    <row r="109" spans="1:14" ht="12.75">
      <c r="A109" s="246" t="s">
        <v>325</v>
      </c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152"/>
      <c r="M109" s="152"/>
      <c r="N109" s="152"/>
    </row>
    <row r="110" spans="1:14" ht="12.75">
      <c r="A110" s="194" t="s">
        <v>326</v>
      </c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52"/>
      <c r="M110" s="152"/>
      <c r="N110" s="152"/>
    </row>
    <row r="111" spans="1:14" ht="12.75">
      <c r="A111" s="246" t="s">
        <v>34</v>
      </c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152"/>
      <c r="M111" s="152"/>
      <c r="N111" s="152"/>
    </row>
    <row r="112" spans="1:14" ht="12.75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</row>
    <row r="113" spans="1:14" ht="12.75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</row>
  </sheetData>
  <sheetProtection/>
  <mergeCells count="88">
    <mergeCell ref="A107:K107"/>
    <mergeCell ref="A108:K108"/>
    <mergeCell ref="C51:F51"/>
    <mergeCell ref="C52:F52"/>
    <mergeCell ref="C82:E82"/>
    <mergeCell ref="C85:E85"/>
    <mergeCell ref="C87:E87"/>
    <mergeCell ref="C88:E88"/>
    <mergeCell ref="C55:E55"/>
    <mergeCell ref="C56:E56"/>
    <mergeCell ref="C57:E57"/>
    <mergeCell ref="C65:E65"/>
    <mergeCell ref="C90:E90"/>
    <mergeCell ref="C91:E91"/>
    <mergeCell ref="C73:E73"/>
    <mergeCell ref="C74:E74"/>
    <mergeCell ref="C75:E75"/>
    <mergeCell ref="C79:E79"/>
    <mergeCell ref="C80:E80"/>
    <mergeCell ref="C81:E81"/>
    <mergeCell ref="A106:K106"/>
    <mergeCell ref="A102:K102"/>
    <mergeCell ref="A103:K103"/>
    <mergeCell ref="C86:E86"/>
    <mergeCell ref="C60:E60"/>
    <mergeCell ref="A43:K43"/>
    <mergeCell ref="A49:K49"/>
    <mergeCell ref="A101:K101"/>
    <mergeCell ref="C77:E77"/>
    <mergeCell ref="C89:E89"/>
    <mergeCell ref="C66:E66"/>
    <mergeCell ref="C69:E69"/>
    <mergeCell ref="C70:E70"/>
    <mergeCell ref="C71:E71"/>
    <mergeCell ref="C72:E72"/>
    <mergeCell ref="A36:K36"/>
    <mergeCell ref="A38:K38"/>
    <mergeCell ref="A39:K39"/>
    <mergeCell ref="A40:K40"/>
    <mergeCell ref="C68:E68"/>
    <mergeCell ref="C62:E62"/>
    <mergeCell ref="C58:E58"/>
    <mergeCell ref="C54:E54"/>
    <mergeCell ref="C64:E64"/>
    <mergeCell ref="A42:K42"/>
    <mergeCell ref="C16:M16"/>
    <mergeCell ref="I18:J18"/>
    <mergeCell ref="A21:I21"/>
    <mergeCell ref="A29:M29"/>
    <mergeCell ref="A30:M30"/>
    <mergeCell ref="A31:M33"/>
    <mergeCell ref="A35:M35"/>
    <mergeCell ref="G9:L9"/>
    <mergeCell ref="G11:L11"/>
    <mergeCell ref="G12:L12"/>
    <mergeCell ref="C14:M14"/>
    <mergeCell ref="C15:M15"/>
    <mergeCell ref="G10:L10"/>
    <mergeCell ref="A109:K109"/>
    <mergeCell ref="A111:K111"/>
    <mergeCell ref="C63:E63"/>
    <mergeCell ref="G2:M2"/>
    <mergeCell ref="G3:M3"/>
    <mergeCell ref="G4:M4"/>
    <mergeCell ref="G5:M5"/>
    <mergeCell ref="G7:L7"/>
    <mergeCell ref="G8:L8"/>
    <mergeCell ref="A105:K105"/>
    <mergeCell ref="A104:K104"/>
    <mergeCell ref="C59:E59"/>
    <mergeCell ref="A94:N94"/>
    <mergeCell ref="A99:K99"/>
    <mergeCell ref="C78:E78"/>
    <mergeCell ref="C83:E83"/>
    <mergeCell ref="C84:E84"/>
    <mergeCell ref="C61:E61"/>
    <mergeCell ref="C92:E92"/>
    <mergeCell ref="C67:E67"/>
    <mergeCell ref="A41:K41"/>
    <mergeCell ref="I20:J20"/>
    <mergeCell ref="A22:I22"/>
    <mergeCell ref="A25:I25"/>
    <mergeCell ref="A26:J26"/>
    <mergeCell ref="A48:K48"/>
    <mergeCell ref="A46:K46"/>
    <mergeCell ref="A45:K45"/>
    <mergeCell ref="A37:K37"/>
    <mergeCell ref="A34:M34"/>
  </mergeCells>
  <printOptions/>
  <pageMargins left="0.15748031496062992" right="0.15748031496062992" top="0.3937007874015748" bottom="0.3937007874015748" header="0.35433070866141736" footer="0.3937007874015748"/>
  <pageSetup fitToHeight="1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7">
      <selection activeCell="H13" sqref="H13"/>
    </sheetView>
  </sheetViews>
  <sheetFormatPr defaultColWidth="9.00390625" defaultRowHeight="12.75"/>
  <cols>
    <col min="1" max="1" width="25.875" style="0" customWidth="1"/>
    <col min="4" max="4" width="11.875" style="0" customWidth="1"/>
    <col min="5" max="5" width="11.25390625" style="0" customWidth="1"/>
    <col min="6" max="6" width="11.125" style="0" customWidth="1"/>
    <col min="7" max="7" width="10.875" style="0" customWidth="1"/>
    <col min="8" max="8" width="11.00390625" style="0" customWidth="1"/>
    <col min="9" max="9" width="11.375" style="0" customWidth="1"/>
    <col min="10" max="10" width="12.25390625" style="0" customWidth="1"/>
    <col min="11" max="12" width="10.75390625" style="0" customWidth="1"/>
  </cols>
  <sheetData>
    <row r="1" spans="1:12" ht="18.75">
      <c r="A1" s="226" t="s">
        <v>161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18.75">
      <c r="A2" s="226" t="s">
        <v>162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18.75">
      <c r="A3" s="226" t="s">
        <v>168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ht="12.7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6" ht="39" customHeight="1">
      <c r="A5" s="287" t="s">
        <v>4</v>
      </c>
      <c r="B5" s="287" t="s">
        <v>38</v>
      </c>
      <c r="C5" s="287" t="s">
        <v>128</v>
      </c>
      <c r="D5" s="290" t="s">
        <v>135</v>
      </c>
      <c r="E5" s="290"/>
      <c r="F5" s="290"/>
      <c r="G5" s="290"/>
      <c r="H5" s="290"/>
      <c r="I5" s="290"/>
      <c r="J5" s="290"/>
      <c r="K5" s="290"/>
      <c r="L5" s="290"/>
      <c r="M5" s="5"/>
      <c r="N5" s="5"/>
      <c r="O5" s="5"/>
      <c r="P5" s="5"/>
    </row>
    <row r="6" spans="1:16" ht="12.75">
      <c r="A6" s="288"/>
      <c r="B6" s="288"/>
      <c r="C6" s="288"/>
      <c r="D6" s="290" t="s">
        <v>132</v>
      </c>
      <c r="E6" s="290"/>
      <c r="F6" s="290"/>
      <c r="G6" s="290" t="s">
        <v>61</v>
      </c>
      <c r="H6" s="290"/>
      <c r="I6" s="290"/>
      <c r="J6" s="290"/>
      <c r="K6" s="290"/>
      <c r="L6" s="290"/>
      <c r="M6" s="5"/>
      <c r="N6" s="5"/>
      <c r="O6" s="5"/>
      <c r="P6" s="5"/>
    </row>
    <row r="7" spans="1:16" ht="111" customHeight="1">
      <c r="A7" s="288"/>
      <c r="B7" s="288"/>
      <c r="C7" s="288"/>
      <c r="D7" s="290"/>
      <c r="E7" s="290"/>
      <c r="F7" s="290"/>
      <c r="G7" s="290" t="s">
        <v>133</v>
      </c>
      <c r="H7" s="290"/>
      <c r="I7" s="290"/>
      <c r="J7" s="290" t="s">
        <v>134</v>
      </c>
      <c r="K7" s="290"/>
      <c r="L7" s="290"/>
      <c r="M7" s="5"/>
      <c r="N7" s="5"/>
      <c r="O7" s="5"/>
      <c r="P7" s="5"/>
    </row>
    <row r="8" spans="1:16" ht="51">
      <c r="A8" s="289"/>
      <c r="B8" s="289"/>
      <c r="C8" s="289"/>
      <c r="D8" s="122" t="s">
        <v>129</v>
      </c>
      <c r="E8" s="122" t="s">
        <v>130</v>
      </c>
      <c r="F8" s="122" t="s">
        <v>131</v>
      </c>
      <c r="G8" s="122" t="s">
        <v>129</v>
      </c>
      <c r="H8" s="122" t="s">
        <v>130</v>
      </c>
      <c r="I8" s="122" t="s">
        <v>131</v>
      </c>
      <c r="J8" s="122" t="s">
        <v>129</v>
      </c>
      <c r="K8" s="122" t="s">
        <v>130</v>
      </c>
      <c r="L8" s="122" t="s">
        <v>131</v>
      </c>
      <c r="M8" s="5"/>
      <c r="N8" s="5"/>
      <c r="O8" s="5"/>
      <c r="P8" s="5"/>
    </row>
    <row r="9" spans="1:12" ht="12.75">
      <c r="A9" s="123">
        <v>1</v>
      </c>
      <c r="B9" s="123">
        <v>2</v>
      </c>
      <c r="C9" s="123">
        <v>3</v>
      </c>
      <c r="D9" s="123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  <c r="L9" s="123">
        <v>12</v>
      </c>
    </row>
    <row r="10" spans="1:12" ht="38.25">
      <c r="A10" s="122" t="s">
        <v>136</v>
      </c>
      <c r="B10" s="125" t="s">
        <v>143</v>
      </c>
      <c r="C10" s="126" t="s">
        <v>139</v>
      </c>
      <c r="D10" s="156">
        <v>3646457.29</v>
      </c>
      <c r="E10" s="156">
        <f>'расходы 2019'!F55</f>
        <v>2316786</v>
      </c>
      <c r="F10" s="156">
        <v>2367966</v>
      </c>
      <c r="G10" s="124"/>
      <c r="H10" s="124"/>
      <c r="I10" s="124"/>
      <c r="J10" s="156">
        <f>D10</f>
        <v>3646457.29</v>
      </c>
      <c r="K10" s="156">
        <f>E10</f>
        <v>2316786</v>
      </c>
      <c r="L10" s="156">
        <v>2367966</v>
      </c>
    </row>
    <row r="11" spans="1:12" ht="12.75">
      <c r="A11" s="127" t="s">
        <v>137</v>
      </c>
      <c r="B11" s="127"/>
      <c r="C11" s="126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ht="51">
      <c r="A12" s="127" t="s">
        <v>138</v>
      </c>
      <c r="B12" s="126">
        <v>1001</v>
      </c>
      <c r="C12" s="126" t="s">
        <v>139</v>
      </c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12" ht="12.75">
      <c r="A13" s="127" t="s">
        <v>6</v>
      </c>
      <c r="B13" s="126" t="s">
        <v>139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 ht="12.75">
      <c r="A14" s="127" t="s">
        <v>140</v>
      </c>
      <c r="B14" s="126">
        <v>1002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2" ht="12.75">
      <c r="A15" s="127" t="s">
        <v>141</v>
      </c>
      <c r="B15" s="126">
        <v>1003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</row>
    <row r="16" spans="1:12" ht="25.5">
      <c r="A16" s="127" t="s">
        <v>142</v>
      </c>
      <c r="B16" s="126">
        <v>2001</v>
      </c>
      <c r="C16" s="124"/>
      <c r="D16" s="156">
        <v>3646457.29</v>
      </c>
      <c r="E16" s="156">
        <f>E10</f>
        <v>2316786</v>
      </c>
      <c r="F16" s="156">
        <v>2367966</v>
      </c>
      <c r="G16" s="124"/>
      <c r="H16" s="124"/>
      <c r="I16" s="124"/>
      <c r="J16" s="156">
        <f>D16</f>
        <v>3646457.29</v>
      </c>
      <c r="K16" s="156">
        <f>E16</f>
        <v>2316786</v>
      </c>
      <c r="L16" s="156">
        <v>2367966</v>
      </c>
    </row>
    <row r="17" spans="1:12" ht="12.75">
      <c r="A17" s="127" t="s">
        <v>6</v>
      </c>
      <c r="B17" s="126" t="s">
        <v>139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</row>
    <row r="18" spans="1:12" ht="12.75">
      <c r="A18" s="127" t="s">
        <v>140</v>
      </c>
      <c r="B18" s="126">
        <v>2002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</row>
    <row r="19" spans="1:12" ht="12.75">
      <c r="A19" s="127" t="s">
        <v>141</v>
      </c>
      <c r="B19" s="126">
        <v>2003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</row>
  </sheetData>
  <sheetProtection/>
  <mergeCells count="11">
    <mergeCell ref="D5:L5"/>
    <mergeCell ref="A5:A8"/>
    <mergeCell ref="B5:B8"/>
    <mergeCell ref="C5:C8"/>
    <mergeCell ref="A1:L1"/>
    <mergeCell ref="A2:L2"/>
    <mergeCell ref="A3:L3"/>
    <mergeCell ref="D6:F7"/>
    <mergeCell ref="G6:L6"/>
    <mergeCell ref="G7:I7"/>
    <mergeCell ref="J7:L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28.625" style="0" customWidth="1"/>
    <col min="2" max="2" width="11.25390625" style="0" customWidth="1"/>
    <col min="3" max="3" width="30.25390625" style="0" customWidth="1"/>
  </cols>
  <sheetData>
    <row r="1" spans="1:4" ht="21" customHeight="1">
      <c r="A1" s="226" t="s">
        <v>144</v>
      </c>
      <c r="B1" s="226"/>
      <c r="C1" s="226"/>
      <c r="D1" s="226"/>
    </row>
    <row r="2" spans="1:5" ht="27.75" customHeight="1">
      <c r="A2" s="226" t="s">
        <v>145</v>
      </c>
      <c r="B2" s="226"/>
      <c r="C2" s="226"/>
      <c r="D2" s="132"/>
      <c r="E2" s="132"/>
    </row>
    <row r="3" spans="1:3" ht="18.75" customHeight="1">
      <c r="A3" s="226" t="s">
        <v>171</v>
      </c>
      <c r="B3" s="226"/>
      <c r="C3" s="226"/>
    </row>
    <row r="4" spans="1:3" ht="12.75" customHeight="1">
      <c r="A4" s="226" t="s">
        <v>146</v>
      </c>
      <c r="B4" s="226"/>
      <c r="C4" s="226"/>
    </row>
    <row r="5" ht="13.5" thickBot="1"/>
    <row r="6" spans="1:3" ht="45.75" thickBot="1">
      <c r="A6" s="119" t="s">
        <v>4</v>
      </c>
      <c r="B6" s="120" t="s">
        <v>38</v>
      </c>
      <c r="C6" s="120" t="s">
        <v>147</v>
      </c>
    </row>
    <row r="7" spans="1:3" ht="15.75" thickBot="1">
      <c r="A7" s="128">
        <v>1</v>
      </c>
      <c r="B7" s="118">
        <v>2</v>
      </c>
      <c r="C7" s="118">
        <v>3</v>
      </c>
    </row>
    <row r="8" spans="1:3" ht="30.75" thickBot="1">
      <c r="A8" s="117" t="s">
        <v>82</v>
      </c>
      <c r="B8" s="129">
        <v>10</v>
      </c>
      <c r="C8" s="129"/>
    </row>
    <row r="9" spans="1:3" ht="30.75" thickBot="1">
      <c r="A9" s="117" t="s">
        <v>83</v>
      </c>
      <c r="B9" s="129">
        <v>20</v>
      </c>
      <c r="C9" s="129"/>
    </row>
    <row r="10" spans="1:3" ht="15.75" thickBot="1">
      <c r="A10" s="117" t="s">
        <v>148</v>
      </c>
      <c r="B10" s="129">
        <v>30</v>
      </c>
      <c r="C10" s="129">
        <v>49977.33</v>
      </c>
    </row>
    <row r="11" spans="1:3" ht="15.75" thickBot="1">
      <c r="A11" s="117" t="s">
        <v>149</v>
      </c>
      <c r="B11" s="129">
        <v>40</v>
      </c>
      <c r="C11" s="129">
        <v>49977.33</v>
      </c>
    </row>
    <row r="14" spans="1:3" ht="12.75">
      <c r="A14" s="291" t="s">
        <v>150</v>
      </c>
      <c r="B14" s="291"/>
      <c r="C14" s="291"/>
    </row>
    <row r="15" ht="15.75" thickBot="1">
      <c r="A15" s="131"/>
    </row>
    <row r="16" spans="1:3" ht="45.75" thickBot="1">
      <c r="A16" s="119" t="s">
        <v>4</v>
      </c>
      <c r="B16" s="120" t="s">
        <v>38</v>
      </c>
      <c r="C16" s="120" t="s">
        <v>147</v>
      </c>
    </row>
    <row r="17" spans="1:3" ht="15.75" thickBot="1">
      <c r="A17" s="128">
        <v>1</v>
      </c>
      <c r="B17" s="118">
        <v>2</v>
      </c>
      <c r="C17" s="118">
        <v>3</v>
      </c>
    </row>
    <row r="18" spans="1:3" ht="30.75" thickBot="1">
      <c r="A18" s="117" t="s">
        <v>151</v>
      </c>
      <c r="B18" s="129">
        <v>10</v>
      </c>
      <c r="C18" s="129"/>
    </row>
    <row r="19" spans="1:3" ht="89.25" customHeight="1" thickBot="1">
      <c r="A19" s="188" t="s">
        <v>152</v>
      </c>
      <c r="B19" s="129">
        <v>20</v>
      </c>
      <c r="C19" s="129"/>
    </row>
    <row r="20" spans="1:3" ht="45.75" thickBot="1">
      <c r="A20" s="117" t="s">
        <v>153</v>
      </c>
      <c r="B20" s="129">
        <v>30</v>
      </c>
      <c r="C20" s="129"/>
    </row>
    <row r="21" ht="15">
      <c r="A21" s="131"/>
    </row>
    <row r="22" ht="12.75">
      <c r="A22" s="130" t="s">
        <v>154</v>
      </c>
    </row>
    <row r="23" spans="1:3" ht="12.75">
      <c r="A23" s="130" t="s">
        <v>155</v>
      </c>
      <c r="C23" s="121" t="s">
        <v>313</v>
      </c>
    </row>
    <row r="24" spans="1:3" ht="12.75">
      <c r="A24" s="291" t="s">
        <v>156</v>
      </c>
      <c r="B24" s="291"/>
      <c r="C24" s="291"/>
    </row>
    <row r="25" spans="1:3" ht="12.75">
      <c r="A25" s="291" t="s">
        <v>157</v>
      </c>
      <c r="B25" s="291"/>
      <c r="C25" s="291"/>
    </row>
    <row r="26" ht="12.75">
      <c r="A26" s="130"/>
    </row>
    <row r="27" ht="12.75">
      <c r="A27" s="130"/>
    </row>
    <row r="28" ht="12.75">
      <c r="A28" s="130" t="s">
        <v>158</v>
      </c>
    </row>
    <row r="29" spans="1:3" ht="12.75">
      <c r="A29" s="130" t="s">
        <v>159</v>
      </c>
      <c r="C29" s="121" t="s">
        <v>314</v>
      </c>
    </row>
    <row r="30" spans="1:3" ht="12.75">
      <c r="A30" s="291" t="s">
        <v>160</v>
      </c>
      <c r="B30" s="291"/>
      <c r="C30" s="291"/>
    </row>
    <row r="31" spans="1:3" ht="12.75">
      <c r="A31" s="291" t="s">
        <v>157</v>
      </c>
      <c r="B31" s="291"/>
      <c r="C31" s="291"/>
    </row>
    <row r="32" ht="12.75">
      <c r="A32" s="130"/>
    </row>
    <row r="33" spans="1:3" ht="12.75">
      <c r="A33" s="292" t="s">
        <v>315</v>
      </c>
      <c r="B33" s="292"/>
      <c r="C33" s="292"/>
    </row>
    <row r="34" spans="1:3" ht="12.75">
      <c r="A34" s="291" t="s">
        <v>157</v>
      </c>
      <c r="B34" s="291"/>
      <c r="C34" s="291"/>
    </row>
    <row r="35" ht="12.75">
      <c r="A35" s="130"/>
    </row>
    <row r="36" ht="12.75">
      <c r="A36" s="130" t="s">
        <v>316</v>
      </c>
    </row>
    <row r="37" ht="12.75">
      <c r="A37" s="130" t="s">
        <v>335</v>
      </c>
    </row>
    <row r="38" ht="15">
      <c r="A38" s="131"/>
    </row>
    <row r="39" ht="15">
      <c r="A39" s="131"/>
    </row>
  </sheetData>
  <sheetProtection/>
  <mergeCells count="11">
    <mergeCell ref="A30:C30"/>
    <mergeCell ref="A31:C31"/>
    <mergeCell ref="A34:C34"/>
    <mergeCell ref="A33:C33"/>
    <mergeCell ref="A14:C14"/>
    <mergeCell ref="A1:D1"/>
    <mergeCell ref="A2:C2"/>
    <mergeCell ref="A3:C3"/>
    <mergeCell ref="A4:C4"/>
    <mergeCell ref="A24:C24"/>
    <mergeCell ref="A25:C25"/>
  </mergeCells>
  <hyperlinks>
    <hyperlink ref="A19" r:id="rId1" display="consultantplus://offline/ref=EB389B84AD87D278A60C7E7C2077DFA38465C1987DD8195C8624D6C563H2t4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1"/>
  <sheetViews>
    <sheetView zoomScalePageLayoutView="0" workbookViewId="0" topLeftCell="A35">
      <selection activeCell="G42" sqref="G42"/>
    </sheetView>
  </sheetViews>
  <sheetFormatPr defaultColWidth="9.00390625" defaultRowHeight="12.75"/>
  <cols>
    <col min="2" max="2" width="19.125" style="0" customWidth="1"/>
    <col min="3" max="3" width="14.125" style="0" customWidth="1"/>
    <col min="4" max="4" width="12.75390625" style="0" customWidth="1"/>
    <col min="5" max="5" width="13.375" style="0" customWidth="1"/>
    <col min="6" max="6" width="12.25390625" style="0" customWidth="1"/>
    <col min="7" max="7" width="11.75390625" style="0" customWidth="1"/>
    <col min="8" max="8" width="14.25390625" style="0" customWidth="1"/>
    <col min="9" max="9" width="12.125" style="0" customWidth="1"/>
    <col min="10" max="10" width="13.125" style="0" customWidth="1"/>
  </cols>
  <sheetData>
    <row r="1" spans="8:10" ht="12.75">
      <c r="H1" s="301" t="s">
        <v>189</v>
      </c>
      <c r="I1" s="301"/>
      <c r="J1" s="301"/>
    </row>
    <row r="2" spans="7:10" ht="69.75" customHeight="1">
      <c r="G2" s="302" t="s">
        <v>190</v>
      </c>
      <c r="H2" s="302"/>
      <c r="I2" s="302"/>
      <c r="J2" s="302"/>
    </row>
    <row r="4" spans="1:10" ht="15">
      <c r="A4" s="295" t="s">
        <v>172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5">
      <c r="A5" s="295" t="s">
        <v>173</v>
      </c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5">
      <c r="A6" s="295" t="s">
        <v>174</v>
      </c>
      <c r="B6" s="295"/>
      <c r="C6" s="295"/>
      <c r="D6" s="295"/>
      <c r="E6" s="295"/>
      <c r="F6" s="295"/>
      <c r="G6" s="295"/>
      <c r="H6" s="295"/>
      <c r="I6" s="295"/>
      <c r="J6" s="295"/>
    </row>
    <row r="7" spans="2:4" ht="15">
      <c r="B7" s="131"/>
      <c r="D7" s="121" t="s">
        <v>243</v>
      </c>
    </row>
    <row r="8" spans="1:10" ht="12.75">
      <c r="A8" s="296" t="s">
        <v>175</v>
      </c>
      <c r="B8" s="296"/>
      <c r="C8" s="296"/>
      <c r="D8" s="296"/>
      <c r="E8" s="296"/>
      <c r="F8" s="296"/>
      <c r="G8" s="296"/>
      <c r="H8" s="296"/>
      <c r="I8" s="296"/>
      <c r="J8" s="296"/>
    </row>
    <row r="9" ht="15">
      <c r="B9" s="131"/>
    </row>
    <row r="10" spans="1:10" ht="15">
      <c r="A10" s="295" t="s">
        <v>241</v>
      </c>
      <c r="B10" s="295"/>
      <c r="C10" s="295"/>
      <c r="D10" s="295"/>
      <c r="E10" s="295"/>
      <c r="F10" s="295"/>
      <c r="G10" s="295"/>
      <c r="H10" s="295"/>
      <c r="I10" s="295"/>
      <c r="J10" s="295"/>
    </row>
    <row r="11" ht="15">
      <c r="B11" s="131"/>
    </row>
    <row r="12" spans="1:10" ht="15">
      <c r="A12" s="295" t="s">
        <v>242</v>
      </c>
      <c r="B12" s="295"/>
      <c r="C12" s="295"/>
      <c r="D12" s="295"/>
      <c r="E12" s="295"/>
      <c r="F12" s="295"/>
      <c r="G12" s="295"/>
      <c r="H12" s="295"/>
      <c r="I12" s="295"/>
      <c r="J12" s="295"/>
    </row>
    <row r="13" ht="15">
      <c r="B13" s="131"/>
    </row>
    <row r="14" spans="1:10" ht="15.75" thickBot="1">
      <c r="A14" s="300" t="s">
        <v>176</v>
      </c>
      <c r="B14" s="300"/>
      <c r="C14" s="300"/>
      <c r="D14" s="300"/>
      <c r="E14" s="300"/>
      <c r="F14" s="300"/>
      <c r="G14" s="300"/>
      <c r="H14" s="300"/>
      <c r="I14" s="300"/>
      <c r="J14" s="300"/>
    </row>
    <row r="15" spans="1:10" ht="15.75" thickBot="1">
      <c r="A15" s="297" t="s">
        <v>177</v>
      </c>
      <c r="B15" s="297" t="s">
        <v>178</v>
      </c>
      <c r="C15" s="297" t="s">
        <v>179</v>
      </c>
      <c r="D15" s="303" t="s">
        <v>180</v>
      </c>
      <c r="E15" s="304"/>
      <c r="F15" s="304"/>
      <c r="G15" s="305"/>
      <c r="H15" s="297" t="s">
        <v>181</v>
      </c>
      <c r="I15" s="297" t="s">
        <v>182</v>
      </c>
      <c r="J15" s="297" t="s">
        <v>183</v>
      </c>
    </row>
    <row r="16" spans="1:10" ht="15.75" thickBot="1">
      <c r="A16" s="298"/>
      <c r="B16" s="298"/>
      <c r="C16" s="298"/>
      <c r="D16" s="297" t="s">
        <v>184</v>
      </c>
      <c r="E16" s="303" t="s">
        <v>7</v>
      </c>
      <c r="F16" s="304"/>
      <c r="G16" s="305"/>
      <c r="H16" s="298"/>
      <c r="I16" s="298"/>
      <c r="J16" s="298"/>
    </row>
    <row r="17" spans="1:10" ht="75.75" thickBot="1">
      <c r="A17" s="299"/>
      <c r="B17" s="299"/>
      <c r="C17" s="299"/>
      <c r="D17" s="299"/>
      <c r="E17" s="118" t="s">
        <v>185</v>
      </c>
      <c r="F17" s="118" t="s">
        <v>186</v>
      </c>
      <c r="G17" s="118" t="s">
        <v>187</v>
      </c>
      <c r="H17" s="299"/>
      <c r="I17" s="299"/>
      <c r="J17" s="299"/>
    </row>
    <row r="18" spans="1:10" ht="15.75" thickBot="1">
      <c r="A18" s="128">
        <v>1</v>
      </c>
      <c r="B18" s="118">
        <v>2</v>
      </c>
      <c r="C18" s="118">
        <v>3</v>
      </c>
      <c r="D18" s="118">
        <v>4</v>
      </c>
      <c r="E18" s="118">
        <v>5</v>
      </c>
      <c r="F18" s="118">
        <v>6</v>
      </c>
      <c r="G18" s="118">
        <v>7</v>
      </c>
      <c r="H18" s="118">
        <v>8</v>
      </c>
      <c r="I18" s="118">
        <v>9</v>
      </c>
      <c r="J18" s="118">
        <v>10</v>
      </c>
    </row>
    <row r="19" spans="1:10" ht="16.5" thickBot="1">
      <c r="A19" s="176">
        <v>1</v>
      </c>
      <c r="B19" s="164" t="s">
        <v>218</v>
      </c>
      <c r="C19" s="174">
        <v>1</v>
      </c>
      <c r="D19" s="177">
        <f>E19+F19+G19</f>
        <v>64319.43667499999</v>
      </c>
      <c r="E19" s="175">
        <v>38805.09</v>
      </c>
      <c r="F19" s="177"/>
      <c r="G19" s="177">
        <f>E19*65.75%</f>
        <v>25514.346674999997</v>
      </c>
      <c r="H19" s="177"/>
      <c r="I19" s="177"/>
      <c r="J19" s="177">
        <f>C19*D19*12</f>
        <v>771833.2400999998</v>
      </c>
    </row>
    <row r="20" spans="1:10" ht="32.25" thickBot="1">
      <c r="A20" s="176">
        <v>2</v>
      </c>
      <c r="B20" s="165" t="s">
        <v>219</v>
      </c>
      <c r="C20" s="174">
        <v>2</v>
      </c>
      <c r="D20" s="177">
        <f aca="true" t="shared" si="0" ref="D20:D43">E20+F20+G20</f>
        <v>39590.8887</v>
      </c>
      <c r="E20" s="175">
        <v>27163.56</v>
      </c>
      <c r="F20" s="177"/>
      <c r="G20" s="177">
        <f>E20*45.75%</f>
        <v>12427.328700000002</v>
      </c>
      <c r="H20" s="177"/>
      <c r="I20" s="177"/>
      <c r="J20" s="177">
        <f aca="true" t="shared" si="1" ref="J20:J44">C20*D20*12</f>
        <v>950181.3288</v>
      </c>
    </row>
    <row r="21" spans="1:10" ht="32.25" thickBot="1">
      <c r="A21" s="176">
        <v>3</v>
      </c>
      <c r="B21" s="166" t="s">
        <v>158</v>
      </c>
      <c r="C21" s="174">
        <v>1</v>
      </c>
      <c r="D21" s="177">
        <f t="shared" si="0"/>
        <v>39590.8887</v>
      </c>
      <c r="E21" s="175">
        <v>27163.56</v>
      </c>
      <c r="F21" s="177"/>
      <c r="G21" s="177">
        <f>E21*45.75%</f>
        <v>12427.328700000002</v>
      </c>
      <c r="H21" s="177"/>
      <c r="I21" s="177"/>
      <c r="J21" s="177">
        <f t="shared" si="1"/>
        <v>475090.6644</v>
      </c>
    </row>
    <row r="22" spans="1:10" ht="16.5" thickBot="1">
      <c r="A22" s="176">
        <v>4</v>
      </c>
      <c r="B22" s="166" t="s">
        <v>220</v>
      </c>
      <c r="C22" s="174">
        <v>2</v>
      </c>
      <c r="D22" s="177">
        <f t="shared" si="0"/>
        <v>10444.2</v>
      </c>
      <c r="E22" s="175">
        <v>5356</v>
      </c>
      <c r="F22" s="177"/>
      <c r="G22" s="177">
        <f>E22*95%</f>
        <v>5088.2</v>
      </c>
      <c r="H22" s="177"/>
      <c r="I22" s="177"/>
      <c r="J22" s="177">
        <f t="shared" si="1"/>
        <v>250660.80000000002</v>
      </c>
    </row>
    <row r="23" spans="1:10" ht="16.5" thickBot="1">
      <c r="A23" s="176">
        <v>5</v>
      </c>
      <c r="B23" s="169" t="s">
        <v>221</v>
      </c>
      <c r="C23" s="174">
        <v>1</v>
      </c>
      <c r="D23" s="177">
        <f t="shared" si="0"/>
        <v>10438.349999999999</v>
      </c>
      <c r="E23" s="175">
        <v>5353</v>
      </c>
      <c r="F23" s="177"/>
      <c r="G23" s="177">
        <f aca="true" t="shared" si="2" ref="G23:G31">E23*95%</f>
        <v>5085.349999999999</v>
      </c>
      <c r="H23" s="177"/>
      <c r="I23" s="177"/>
      <c r="J23" s="177">
        <f t="shared" si="1"/>
        <v>125260.19999999998</v>
      </c>
    </row>
    <row r="24" spans="1:10" ht="16.5" thickBot="1">
      <c r="A24" s="176">
        <v>6</v>
      </c>
      <c r="B24" s="170" t="s">
        <v>222</v>
      </c>
      <c r="C24" s="174">
        <v>1</v>
      </c>
      <c r="D24" s="177">
        <f t="shared" si="0"/>
        <v>8669.7</v>
      </c>
      <c r="E24" s="175">
        <v>4446</v>
      </c>
      <c r="F24" s="177"/>
      <c r="G24" s="177">
        <f t="shared" si="2"/>
        <v>4223.7</v>
      </c>
      <c r="H24" s="177"/>
      <c r="I24" s="177"/>
      <c r="J24" s="177">
        <f t="shared" si="1"/>
        <v>104036.40000000001</v>
      </c>
    </row>
    <row r="25" spans="1:10" ht="16.5" thickBot="1">
      <c r="A25" s="176">
        <v>7</v>
      </c>
      <c r="B25" s="166" t="s">
        <v>223</v>
      </c>
      <c r="C25" s="174">
        <v>1</v>
      </c>
      <c r="D25" s="177">
        <f t="shared" si="0"/>
        <v>9451.65</v>
      </c>
      <c r="E25" s="175">
        <v>4847</v>
      </c>
      <c r="F25" s="177"/>
      <c r="G25" s="177">
        <f t="shared" si="2"/>
        <v>4604.65</v>
      </c>
      <c r="H25" s="177"/>
      <c r="I25" s="177"/>
      <c r="J25" s="177">
        <f t="shared" si="1"/>
        <v>113419.79999999999</v>
      </c>
    </row>
    <row r="26" spans="1:10" ht="32.25" thickBot="1">
      <c r="A26" s="176">
        <v>8</v>
      </c>
      <c r="B26" s="166" t="s">
        <v>224</v>
      </c>
      <c r="C26" s="174">
        <v>1</v>
      </c>
      <c r="D26" s="177">
        <f t="shared" si="0"/>
        <v>8669.7</v>
      </c>
      <c r="E26" s="175">
        <v>4446</v>
      </c>
      <c r="F26" s="177"/>
      <c r="G26" s="177">
        <f t="shared" si="2"/>
        <v>4223.7</v>
      </c>
      <c r="H26" s="177"/>
      <c r="I26" s="177"/>
      <c r="J26" s="177">
        <f t="shared" si="1"/>
        <v>104036.40000000001</v>
      </c>
    </row>
    <row r="27" spans="1:10" ht="32.25" thickBot="1">
      <c r="A27" s="176">
        <v>9</v>
      </c>
      <c r="B27" s="166" t="s">
        <v>225</v>
      </c>
      <c r="C27" s="174">
        <v>1</v>
      </c>
      <c r="D27" s="177">
        <f t="shared" si="0"/>
        <v>10929.75</v>
      </c>
      <c r="E27" s="175">
        <v>5605</v>
      </c>
      <c r="F27" s="177"/>
      <c r="G27" s="177">
        <f t="shared" si="2"/>
        <v>5324.75</v>
      </c>
      <c r="H27" s="177"/>
      <c r="I27" s="177"/>
      <c r="J27" s="177">
        <f t="shared" si="1"/>
        <v>131157</v>
      </c>
    </row>
    <row r="28" spans="1:10" ht="32.25" thickBot="1">
      <c r="A28" s="176">
        <v>10</v>
      </c>
      <c r="B28" s="166" t="s">
        <v>226</v>
      </c>
      <c r="C28" s="174">
        <v>1</v>
      </c>
      <c r="D28" s="177">
        <f t="shared" si="0"/>
        <v>9451.65</v>
      </c>
      <c r="E28" s="175">
        <v>4847</v>
      </c>
      <c r="F28" s="177"/>
      <c r="G28" s="177">
        <f t="shared" si="2"/>
        <v>4604.65</v>
      </c>
      <c r="H28" s="177"/>
      <c r="I28" s="177"/>
      <c r="J28" s="177">
        <f t="shared" si="1"/>
        <v>113419.79999999999</v>
      </c>
    </row>
    <row r="29" spans="1:10" ht="16.5" thickBot="1">
      <c r="A29" s="176">
        <v>11</v>
      </c>
      <c r="B29" s="171" t="s">
        <v>227</v>
      </c>
      <c r="C29" s="174">
        <v>0.5</v>
      </c>
      <c r="D29" s="177">
        <f t="shared" si="0"/>
        <v>8426.55</v>
      </c>
      <c r="E29" s="175">
        <v>5107</v>
      </c>
      <c r="F29" s="177"/>
      <c r="G29" s="177">
        <f>E29*65%</f>
        <v>3319.55</v>
      </c>
      <c r="H29" s="177"/>
      <c r="I29" s="177"/>
      <c r="J29" s="177">
        <f t="shared" si="1"/>
        <v>50559.299999999996</v>
      </c>
    </row>
    <row r="30" spans="1:10" ht="16.5" thickBot="1">
      <c r="A30" s="176">
        <v>12</v>
      </c>
      <c r="B30" s="166" t="s">
        <v>228</v>
      </c>
      <c r="C30" s="174">
        <v>0.5</v>
      </c>
      <c r="D30" s="177">
        <f t="shared" si="0"/>
        <v>8645.279999999999</v>
      </c>
      <c r="E30" s="175">
        <v>4648</v>
      </c>
      <c r="F30" s="177"/>
      <c r="G30" s="177">
        <f>E30*86%</f>
        <v>3997.2799999999997</v>
      </c>
      <c r="H30" s="177"/>
      <c r="I30" s="177"/>
      <c r="J30" s="177">
        <f t="shared" si="1"/>
        <v>51871.67999999999</v>
      </c>
    </row>
    <row r="31" spans="1:10" ht="32.25" thickBot="1">
      <c r="A31" s="176">
        <v>13</v>
      </c>
      <c r="B31" s="166" t="s">
        <v>229</v>
      </c>
      <c r="C31" s="174">
        <v>11.5</v>
      </c>
      <c r="D31" s="177">
        <f t="shared" si="0"/>
        <v>12704.25</v>
      </c>
      <c r="E31" s="175">
        <v>6515</v>
      </c>
      <c r="F31" s="178"/>
      <c r="G31" s="177">
        <f t="shared" si="2"/>
        <v>6189.25</v>
      </c>
      <c r="H31" s="178"/>
      <c r="I31" s="178"/>
      <c r="J31" s="177">
        <f t="shared" si="1"/>
        <v>1753186.5</v>
      </c>
    </row>
    <row r="32" spans="1:10" ht="32.25" thickBot="1">
      <c r="A32" s="176">
        <v>14</v>
      </c>
      <c r="B32" s="172" t="s">
        <v>230</v>
      </c>
      <c r="C32" s="174">
        <v>6</v>
      </c>
      <c r="D32" s="177">
        <f t="shared" si="0"/>
        <v>19647.987399999998</v>
      </c>
      <c r="E32" s="175">
        <v>6194</v>
      </c>
      <c r="F32" s="178"/>
      <c r="G32" s="178">
        <f>E32*217.21%</f>
        <v>13453.9874</v>
      </c>
      <c r="H32" s="178"/>
      <c r="I32" s="178"/>
      <c r="J32" s="177">
        <f t="shared" si="1"/>
        <v>1414655.0927999998</v>
      </c>
    </row>
    <row r="33" spans="1:10" ht="63.75" thickBot="1">
      <c r="A33" s="176">
        <v>15</v>
      </c>
      <c r="B33" s="166" t="s">
        <v>231</v>
      </c>
      <c r="C33" s="174">
        <v>2</v>
      </c>
      <c r="D33" s="177">
        <f t="shared" si="0"/>
        <v>19647.987399999998</v>
      </c>
      <c r="E33" s="175">
        <v>6194</v>
      </c>
      <c r="F33" s="178"/>
      <c r="G33" s="178">
        <f>E33*217.21%</f>
        <v>13453.9874</v>
      </c>
      <c r="H33" s="178"/>
      <c r="I33" s="178"/>
      <c r="J33" s="177">
        <f t="shared" si="1"/>
        <v>471551.69759999996</v>
      </c>
    </row>
    <row r="34" spans="1:10" ht="32.25" thickBot="1">
      <c r="A34" s="176">
        <v>16</v>
      </c>
      <c r="B34" s="173" t="s">
        <v>232</v>
      </c>
      <c r="C34" s="174">
        <v>88.25</v>
      </c>
      <c r="D34" s="177">
        <f t="shared" si="0"/>
        <v>14851.5699</v>
      </c>
      <c r="E34" s="175">
        <v>4929</v>
      </c>
      <c r="F34" s="178"/>
      <c r="G34" s="178">
        <f>E34*201.31%</f>
        <v>9922.5699</v>
      </c>
      <c r="H34" s="178"/>
      <c r="I34" s="178"/>
      <c r="J34" s="177">
        <f t="shared" si="1"/>
        <v>15727812.524100002</v>
      </c>
    </row>
    <row r="35" spans="1:10" ht="48" thickBot="1">
      <c r="A35" s="176">
        <v>17</v>
      </c>
      <c r="B35" s="166" t="s">
        <v>233</v>
      </c>
      <c r="C35" s="174">
        <v>14.5</v>
      </c>
      <c r="D35" s="177">
        <f t="shared" si="0"/>
        <v>10438.349999999999</v>
      </c>
      <c r="E35" s="175">
        <v>5353</v>
      </c>
      <c r="F35" s="178"/>
      <c r="G35" s="177">
        <f>E35*95%</f>
        <v>5085.349999999999</v>
      </c>
      <c r="H35" s="178"/>
      <c r="I35" s="178"/>
      <c r="J35" s="177">
        <f>C35*D35*12+0.1</f>
        <v>1816273</v>
      </c>
    </row>
    <row r="36" spans="1:10" ht="16.5" thickBot="1">
      <c r="A36" s="176">
        <v>18</v>
      </c>
      <c r="B36" s="166" t="s">
        <v>223</v>
      </c>
      <c r="C36" s="174">
        <v>0.75</v>
      </c>
      <c r="D36" s="177">
        <f t="shared" si="0"/>
        <v>8433.779999999999</v>
      </c>
      <c r="E36" s="175">
        <v>4847</v>
      </c>
      <c r="F36" s="178"/>
      <c r="G36" s="177">
        <f>E36*74%</f>
        <v>3586.7799999999997</v>
      </c>
      <c r="H36" s="178"/>
      <c r="I36" s="178"/>
      <c r="J36" s="177">
        <f t="shared" si="1"/>
        <v>75904.01999999999</v>
      </c>
    </row>
    <row r="37" spans="1:10" ht="16.5" thickBot="1">
      <c r="A37" s="176">
        <v>19</v>
      </c>
      <c r="B37" s="166" t="s">
        <v>234</v>
      </c>
      <c r="C37" s="174">
        <v>1.5</v>
      </c>
      <c r="D37" s="177">
        <f t="shared" si="0"/>
        <v>8832.45</v>
      </c>
      <c r="E37" s="175">
        <v>5353</v>
      </c>
      <c r="F37" s="178"/>
      <c r="G37" s="177">
        <f>E37*65%</f>
        <v>3479.4500000000003</v>
      </c>
      <c r="H37" s="178"/>
      <c r="I37" s="178"/>
      <c r="J37" s="177">
        <f t="shared" si="1"/>
        <v>158984.1</v>
      </c>
    </row>
    <row r="38" spans="1:10" ht="16.5" thickBot="1">
      <c r="A38" s="176">
        <v>20</v>
      </c>
      <c r="B38" s="166" t="s">
        <v>235</v>
      </c>
      <c r="C38" s="174">
        <v>2</v>
      </c>
      <c r="D38" s="177">
        <f t="shared" si="0"/>
        <v>8538.376</v>
      </c>
      <c r="E38" s="175">
        <v>4648</v>
      </c>
      <c r="F38" s="178">
        <f aca="true" t="shared" si="3" ref="F38:F43">E38*21.7%</f>
        <v>1008.616</v>
      </c>
      <c r="G38" s="177">
        <f>E38*62%</f>
        <v>2881.7599999999998</v>
      </c>
      <c r="H38" s="178"/>
      <c r="I38" s="178"/>
      <c r="J38" s="177">
        <f t="shared" si="1"/>
        <v>204921.024</v>
      </c>
    </row>
    <row r="39" spans="1:10" ht="48" thickBot="1">
      <c r="A39" s="176">
        <v>21</v>
      </c>
      <c r="B39" s="172" t="s">
        <v>236</v>
      </c>
      <c r="C39" s="174">
        <v>1.5</v>
      </c>
      <c r="D39" s="177">
        <f t="shared" si="0"/>
        <v>7979.557999999999</v>
      </c>
      <c r="E39" s="175">
        <v>4274</v>
      </c>
      <c r="F39" s="178">
        <f t="shared" si="3"/>
        <v>927.458</v>
      </c>
      <c r="G39" s="177">
        <f>E39*65%</f>
        <v>2778.1</v>
      </c>
      <c r="H39" s="178"/>
      <c r="I39" s="178"/>
      <c r="J39" s="177">
        <f t="shared" si="1"/>
        <v>143632.044</v>
      </c>
    </row>
    <row r="40" spans="1:10" ht="16.5" thickBot="1">
      <c r="A40" s="176">
        <v>22</v>
      </c>
      <c r="B40" s="166" t="s">
        <v>237</v>
      </c>
      <c r="C40" s="174">
        <v>4</v>
      </c>
      <c r="D40" s="177">
        <f t="shared" si="0"/>
        <v>7979.557999999999</v>
      </c>
      <c r="E40" s="175">
        <v>4274</v>
      </c>
      <c r="F40" s="178">
        <f t="shared" si="3"/>
        <v>927.458</v>
      </c>
      <c r="G40" s="177">
        <f>E40*65%</f>
        <v>2778.1</v>
      </c>
      <c r="H40" s="178"/>
      <c r="I40" s="178"/>
      <c r="J40" s="177">
        <f t="shared" si="1"/>
        <v>383018.784</v>
      </c>
    </row>
    <row r="41" spans="1:10" ht="48" thickBot="1">
      <c r="A41" s="176">
        <v>23</v>
      </c>
      <c r="B41" s="166" t="s">
        <v>238</v>
      </c>
      <c r="C41" s="174">
        <v>1</v>
      </c>
      <c r="D41" s="177">
        <f t="shared" si="0"/>
        <v>8022.298</v>
      </c>
      <c r="E41" s="175">
        <v>4274</v>
      </c>
      <c r="F41" s="178">
        <f t="shared" si="3"/>
        <v>927.458</v>
      </c>
      <c r="G41" s="177">
        <f>E41*66%</f>
        <v>2820.84</v>
      </c>
      <c r="H41" s="178"/>
      <c r="I41" s="178"/>
      <c r="J41" s="177">
        <f t="shared" si="1"/>
        <v>96267.576</v>
      </c>
    </row>
    <row r="42" spans="1:10" ht="16.5" thickBot="1">
      <c r="A42" s="176">
        <v>24</v>
      </c>
      <c r="B42" s="166" t="s">
        <v>239</v>
      </c>
      <c r="C42" s="174">
        <v>0.5</v>
      </c>
      <c r="D42" s="177">
        <f t="shared" si="0"/>
        <v>8115.849</v>
      </c>
      <c r="E42" s="175">
        <v>4347</v>
      </c>
      <c r="F42" s="178">
        <f t="shared" si="3"/>
        <v>943.299</v>
      </c>
      <c r="G42" s="177">
        <f>E42*65%</f>
        <v>2825.55</v>
      </c>
      <c r="H42" s="178"/>
      <c r="I42" s="178"/>
      <c r="J42" s="177">
        <f t="shared" si="1"/>
        <v>48695.094</v>
      </c>
    </row>
    <row r="43" spans="1:10" ht="32.25" thickBot="1">
      <c r="A43" s="176">
        <v>25</v>
      </c>
      <c r="B43" s="166" t="s">
        <v>240</v>
      </c>
      <c r="C43" s="174">
        <v>3</v>
      </c>
      <c r="D43" s="177">
        <f t="shared" si="0"/>
        <v>8013.164</v>
      </c>
      <c r="E43" s="175">
        <v>4292</v>
      </c>
      <c r="F43" s="178">
        <f t="shared" si="3"/>
        <v>931.364</v>
      </c>
      <c r="G43" s="177">
        <f>E43*65%</f>
        <v>2789.8</v>
      </c>
      <c r="H43" s="178"/>
      <c r="I43" s="178"/>
      <c r="J43" s="177">
        <f t="shared" si="1"/>
        <v>288473.904</v>
      </c>
    </row>
    <row r="44" spans="1:10" ht="16.5" thickBot="1">
      <c r="A44" s="179"/>
      <c r="B44" s="168"/>
      <c r="C44" s="180"/>
      <c r="D44" s="178"/>
      <c r="E44" s="178"/>
      <c r="F44" s="178"/>
      <c r="G44" s="178">
        <f>E44*21.7%</f>
        <v>0</v>
      </c>
      <c r="H44" s="178"/>
      <c r="I44" s="178"/>
      <c r="J44" s="177">
        <f t="shared" si="1"/>
        <v>0</v>
      </c>
    </row>
    <row r="45" spans="1:10" ht="16.5" thickBot="1">
      <c r="A45" s="293" t="s">
        <v>188</v>
      </c>
      <c r="B45" s="294"/>
      <c r="C45" s="180" t="s">
        <v>139</v>
      </c>
      <c r="D45" s="178"/>
      <c r="E45" s="178" t="s">
        <v>139</v>
      </c>
      <c r="F45" s="178" t="s">
        <v>139</v>
      </c>
      <c r="G45" s="178" t="s">
        <v>139</v>
      </c>
      <c r="H45" s="178" t="s">
        <v>139</v>
      </c>
      <c r="I45" s="178" t="s">
        <v>139</v>
      </c>
      <c r="J45" s="178">
        <f>SUM(J19:J44)</f>
        <v>25824901.973800004</v>
      </c>
    </row>
    <row r="46" ht="15">
      <c r="A46" s="131"/>
    </row>
    <row r="47" ht="15">
      <c r="A47" s="134"/>
    </row>
    <row r="611" ht="12.75"/>
  </sheetData>
  <sheetProtection/>
  <mergeCells count="19">
    <mergeCell ref="A14:J14"/>
    <mergeCell ref="H1:J1"/>
    <mergeCell ref="G2:J2"/>
    <mergeCell ref="J15:J17"/>
    <mergeCell ref="D16:D17"/>
    <mergeCell ref="E16:G16"/>
    <mergeCell ref="D15:G15"/>
    <mergeCell ref="H15:H17"/>
    <mergeCell ref="I15:I17"/>
    <mergeCell ref="A45:B45"/>
    <mergeCell ref="A4:J4"/>
    <mergeCell ref="A5:J5"/>
    <mergeCell ref="A6:J6"/>
    <mergeCell ref="A8:J8"/>
    <mergeCell ref="A10:J10"/>
    <mergeCell ref="A12:J12"/>
    <mergeCell ref="A15:A17"/>
    <mergeCell ref="B15:B17"/>
    <mergeCell ref="C15:C17"/>
  </mergeCells>
  <hyperlinks>
    <hyperlink ref="A8" location="P611" display="P61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9">
      <selection activeCell="C20" sqref="C20"/>
    </sheetView>
  </sheetViews>
  <sheetFormatPr defaultColWidth="9.00390625" defaultRowHeight="12.75"/>
  <cols>
    <col min="2" max="2" width="28.00390625" style="0" customWidth="1"/>
    <col min="3" max="3" width="23.25390625" style="0" customWidth="1"/>
    <col min="4" max="4" width="16.375" style="0" customWidth="1"/>
  </cols>
  <sheetData>
    <row r="1" spans="1:4" ht="15">
      <c r="A1" s="295" t="s">
        <v>191</v>
      </c>
      <c r="B1" s="295"/>
      <c r="C1" s="295"/>
      <c r="D1" s="295"/>
    </row>
    <row r="2" spans="1:4" ht="15">
      <c r="A2" s="295" t="s">
        <v>192</v>
      </c>
      <c r="B2" s="295"/>
      <c r="C2" s="295"/>
      <c r="D2" s="295"/>
    </row>
    <row r="3" spans="1:4" ht="15">
      <c r="A3" s="295" t="s">
        <v>193</v>
      </c>
      <c r="B3" s="295"/>
      <c r="C3" s="295"/>
      <c r="D3" s="295"/>
    </row>
    <row r="4" spans="1:4" ht="15">
      <c r="A4" s="295" t="s">
        <v>194</v>
      </c>
      <c r="B4" s="295"/>
      <c r="C4" s="295"/>
      <c r="D4" s="295"/>
    </row>
    <row r="5" spans="1:4" ht="15">
      <c r="A5" s="295" t="s">
        <v>195</v>
      </c>
      <c r="B5" s="295"/>
      <c r="C5" s="295"/>
      <c r="D5" s="295"/>
    </row>
    <row r="6" ht="15.75" thickBot="1">
      <c r="A6" s="131"/>
    </row>
    <row r="7" spans="1:4" ht="45.75" thickBot="1">
      <c r="A7" s="119" t="s">
        <v>177</v>
      </c>
      <c r="B7" s="120" t="s">
        <v>196</v>
      </c>
      <c r="C7" s="120" t="s">
        <v>197</v>
      </c>
      <c r="D7" s="120" t="s">
        <v>198</v>
      </c>
    </row>
    <row r="8" spans="1:4" ht="15.75" thickBot="1">
      <c r="A8" s="128">
        <v>1</v>
      </c>
      <c r="B8" s="118">
        <v>2</v>
      </c>
      <c r="C8" s="118">
        <v>3</v>
      </c>
      <c r="D8" s="118">
        <v>4</v>
      </c>
    </row>
    <row r="9" spans="1:4" ht="45.75" thickBot="1">
      <c r="A9" s="160">
        <v>1</v>
      </c>
      <c r="B9" s="129" t="s">
        <v>199</v>
      </c>
      <c r="C9" s="161" t="s">
        <v>139</v>
      </c>
      <c r="D9" s="161">
        <f>D10+D11+D12</f>
        <v>5681478.4333999995</v>
      </c>
    </row>
    <row r="10" spans="1:4" ht="15.75" thickBot="1">
      <c r="A10" s="160" t="s">
        <v>208</v>
      </c>
      <c r="B10" s="129" t="s">
        <v>200</v>
      </c>
      <c r="C10" s="161">
        <v>25824901.97</v>
      </c>
      <c r="D10" s="161">
        <f>C10*22%</f>
        <v>5681478.4333999995</v>
      </c>
    </row>
    <row r="11" spans="1:4" ht="15.75" thickBot="1">
      <c r="A11" s="160" t="s">
        <v>209</v>
      </c>
      <c r="B11" s="129" t="s">
        <v>201</v>
      </c>
      <c r="C11" s="161"/>
      <c r="D11" s="161"/>
    </row>
    <row r="12" spans="1:4" ht="75.75" thickBot="1">
      <c r="A12" s="160" t="s">
        <v>210</v>
      </c>
      <c r="B12" s="129" t="s">
        <v>202</v>
      </c>
      <c r="C12" s="161"/>
      <c r="D12" s="161"/>
    </row>
    <row r="13" spans="1:4" ht="45.75" thickBot="1">
      <c r="A13" s="160">
        <v>2</v>
      </c>
      <c r="B13" s="129" t="s">
        <v>203</v>
      </c>
      <c r="C13" s="161" t="s">
        <v>139</v>
      </c>
      <c r="D13" s="161">
        <f>D14+D16+D17+D18+D19</f>
        <v>821231.882646</v>
      </c>
    </row>
    <row r="14" spans="1:4" ht="15">
      <c r="A14" s="306" t="s">
        <v>211</v>
      </c>
      <c r="B14" s="157" t="s">
        <v>7</v>
      </c>
      <c r="C14" s="308">
        <v>25824901.97</v>
      </c>
      <c r="D14" s="308">
        <f>C14*2.9%</f>
        <v>748922.15713</v>
      </c>
    </row>
    <row r="15" spans="1:4" ht="90.75" thickBot="1">
      <c r="A15" s="307"/>
      <c r="B15" s="129" t="s">
        <v>204</v>
      </c>
      <c r="C15" s="309"/>
      <c r="D15" s="309"/>
    </row>
    <row r="16" spans="1:4" ht="60.75" thickBot="1">
      <c r="A16" s="160" t="s">
        <v>212</v>
      </c>
      <c r="B16" s="129" t="s">
        <v>205</v>
      </c>
      <c r="C16" s="161"/>
      <c r="D16" s="161"/>
    </row>
    <row r="17" spans="1:4" ht="75.75" thickBot="1">
      <c r="A17" s="160" t="s">
        <v>213</v>
      </c>
      <c r="B17" s="129" t="s">
        <v>206</v>
      </c>
      <c r="C17" s="161"/>
      <c r="D17" s="161"/>
    </row>
    <row r="18" spans="1:4" ht="75.75" thickBot="1">
      <c r="A18" s="160" t="s">
        <v>214</v>
      </c>
      <c r="B18" s="129" t="s">
        <v>217</v>
      </c>
      <c r="C18" s="161">
        <v>25824901.97</v>
      </c>
      <c r="D18" s="161">
        <f>C18*0.28%</f>
        <v>72309.725516</v>
      </c>
    </row>
    <row r="19" spans="1:4" ht="75.75" thickBot="1">
      <c r="A19" s="160" t="s">
        <v>215</v>
      </c>
      <c r="B19" s="129" t="s">
        <v>216</v>
      </c>
      <c r="C19" s="161"/>
      <c r="D19" s="161"/>
    </row>
    <row r="20" spans="1:4" ht="75.75" thickBot="1">
      <c r="A20" s="160">
        <v>3</v>
      </c>
      <c r="B20" s="129" t="s">
        <v>207</v>
      </c>
      <c r="C20" s="161">
        <v>25824901.97</v>
      </c>
      <c r="D20" s="161">
        <f>C20*5.1%</f>
        <v>1317070.0004699999</v>
      </c>
    </row>
    <row r="21" spans="1:4" ht="15.75" thickBot="1">
      <c r="A21" s="117"/>
      <c r="B21" s="158" t="s">
        <v>188</v>
      </c>
      <c r="C21" s="161" t="s">
        <v>139</v>
      </c>
      <c r="D21" s="161">
        <f>D9+D13+D20</f>
        <v>7819780.316515999</v>
      </c>
    </row>
    <row r="22" ht="15">
      <c r="A22" s="131"/>
    </row>
    <row r="23" ht="15">
      <c r="A23" s="131"/>
    </row>
    <row r="24" ht="12.75">
      <c r="A24" s="159"/>
    </row>
  </sheetData>
  <sheetProtection/>
  <mergeCells count="8">
    <mergeCell ref="A14:A15"/>
    <mergeCell ref="C14:C15"/>
    <mergeCell ref="D14:D15"/>
    <mergeCell ref="A1:D1"/>
    <mergeCell ref="A2:D2"/>
    <mergeCell ref="A3:D3"/>
    <mergeCell ref="A4:D4"/>
    <mergeCell ref="A5:D5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1"/>
  <sheetViews>
    <sheetView zoomScalePageLayoutView="0" workbookViewId="0" topLeftCell="A34">
      <selection activeCell="J35" sqref="J35"/>
    </sheetView>
  </sheetViews>
  <sheetFormatPr defaultColWidth="9.00390625" defaultRowHeight="12.75"/>
  <cols>
    <col min="2" max="2" width="21.25390625" style="0" customWidth="1"/>
    <col min="3" max="3" width="12.125" style="0" customWidth="1"/>
    <col min="4" max="4" width="15.75390625" style="0" customWidth="1"/>
    <col min="5" max="5" width="14.625" style="0" customWidth="1"/>
    <col min="6" max="6" width="14.125" style="0" customWidth="1"/>
    <col min="7" max="7" width="16.00390625" style="0" customWidth="1"/>
    <col min="8" max="8" width="11.75390625" style="0" customWidth="1"/>
    <col min="10" max="10" width="16.25390625" style="0" customWidth="1"/>
  </cols>
  <sheetData>
    <row r="1" spans="8:10" ht="12.75">
      <c r="H1" s="301" t="s">
        <v>189</v>
      </c>
      <c r="I1" s="301"/>
      <c r="J1" s="301"/>
    </row>
    <row r="2" spans="7:10" ht="55.5" customHeight="1">
      <c r="G2" s="302" t="s">
        <v>190</v>
      </c>
      <c r="H2" s="302"/>
      <c r="I2" s="302"/>
      <c r="J2" s="302"/>
    </row>
    <row r="4" spans="1:10" ht="15">
      <c r="A4" s="295" t="s">
        <v>172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5">
      <c r="A5" s="295" t="s">
        <v>173</v>
      </c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5">
      <c r="A6" s="295" t="s">
        <v>174</v>
      </c>
      <c r="B6" s="295"/>
      <c r="C6" s="295"/>
      <c r="D6" s="295"/>
      <c r="E6" s="295"/>
      <c r="F6" s="295"/>
      <c r="G6" s="295"/>
      <c r="H6" s="295"/>
      <c r="I6" s="295"/>
      <c r="J6" s="295"/>
    </row>
    <row r="7" spans="2:4" ht="15">
      <c r="B7" s="131"/>
      <c r="D7" s="121" t="s">
        <v>243</v>
      </c>
    </row>
    <row r="8" spans="1:10" ht="12.75">
      <c r="A8" s="296" t="s">
        <v>175</v>
      </c>
      <c r="B8" s="296"/>
      <c r="C8" s="296"/>
      <c r="D8" s="296"/>
      <c r="E8" s="296"/>
      <c r="F8" s="296"/>
      <c r="G8" s="296"/>
      <c r="H8" s="296"/>
      <c r="I8" s="296"/>
      <c r="J8" s="296"/>
    </row>
    <row r="9" ht="15">
      <c r="B9" s="131"/>
    </row>
    <row r="10" spans="1:10" ht="15">
      <c r="A10" s="295" t="s">
        <v>241</v>
      </c>
      <c r="B10" s="295"/>
      <c r="C10" s="295"/>
      <c r="D10" s="295"/>
      <c r="E10" s="295"/>
      <c r="F10" s="295"/>
      <c r="G10" s="295"/>
      <c r="H10" s="295"/>
      <c r="I10" s="295"/>
      <c r="J10" s="295"/>
    </row>
    <row r="11" ht="15">
      <c r="B11" s="131"/>
    </row>
    <row r="12" spans="1:10" ht="15">
      <c r="A12" s="295" t="s">
        <v>242</v>
      </c>
      <c r="B12" s="295"/>
      <c r="C12" s="295"/>
      <c r="D12" s="295"/>
      <c r="E12" s="295"/>
      <c r="F12" s="295"/>
      <c r="G12" s="295"/>
      <c r="H12" s="295"/>
      <c r="I12" s="295"/>
      <c r="J12" s="295"/>
    </row>
    <row r="13" ht="15">
      <c r="B13" s="131"/>
    </row>
    <row r="14" spans="1:10" ht="15.75" thickBot="1">
      <c r="A14" s="300" t="s">
        <v>176</v>
      </c>
      <c r="B14" s="300"/>
      <c r="C14" s="300"/>
      <c r="D14" s="300"/>
      <c r="E14" s="300"/>
      <c r="F14" s="300"/>
      <c r="G14" s="300"/>
      <c r="H14" s="300"/>
      <c r="I14" s="300"/>
      <c r="J14" s="300"/>
    </row>
    <row r="15" spans="1:10" ht="15.75" thickBot="1">
      <c r="A15" s="297" t="s">
        <v>177</v>
      </c>
      <c r="B15" s="297" t="s">
        <v>178</v>
      </c>
      <c r="C15" s="297" t="s">
        <v>179</v>
      </c>
      <c r="D15" s="303" t="s">
        <v>180</v>
      </c>
      <c r="E15" s="304"/>
      <c r="F15" s="304"/>
      <c r="G15" s="305"/>
      <c r="H15" s="297" t="s">
        <v>181</v>
      </c>
      <c r="I15" s="297" t="s">
        <v>182</v>
      </c>
      <c r="J15" s="297" t="s">
        <v>183</v>
      </c>
    </row>
    <row r="16" spans="1:10" ht="15.75" thickBot="1">
      <c r="A16" s="298"/>
      <c r="B16" s="298"/>
      <c r="C16" s="298"/>
      <c r="D16" s="297" t="s">
        <v>184</v>
      </c>
      <c r="E16" s="303" t="s">
        <v>7</v>
      </c>
      <c r="F16" s="304"/>
      <c r="G16" s="305"/>
      <c r="H16" s="298"/>
      <c r="I16" s="298"/>
      <c r="J16" s="298"/>
    </row>
    <row r="17" spans="1:10" ht="60.75" thickBot="1">
      <c r="A17" s="299"/>
      <c r="B17" s="299"/>
      <c r="C17" s="299"/>
      <c r="D17" s="299"/>
      <c r="E17" s="118" t="s">
        <v>185</v>
      </c>
      <c r="F17" s="118" t="s">
        <v>186</v>
      </c>
      <c r="G17" s="118" t="s">
        <v>187</v>
      </c>
      <c r="H17" s="299"/>
      <c r="I17" s="299"/>
      <c r="J17" s="299"/>
    </row>
    <row r="18" spans="1:10" ht="15.75" thickBot="1">
      <c r="A18" s="128">
        <v>1</v>
      </c>
      <c r="B18" s="118">
        <v>2</v>
      </c>
      <c r="C18" s="118">
        <v>3</v>
      </c>
      <c r="D18" s="118">
        <v>4</v>
      </c>
      <c r="E18" s="118">
        <v>5</v>
      </c>
      <c r="F18" s="118">
        <v>6</v>
      </c>
      <c r="G18" s="118">
        <v>7</v>
      </c>
      <c r="H18" s="118">
        <v>8</v>
      </c>
      <c r="I18" s="118">
        <v>9</v>
      </c>
      <c r="J18" s="118">
        <v>10</v>
      </c>
    </row>
    <row r="19" spans="1:10" ht="16.5" thickBot="1">
      <c r="A19" s="128">
        <v>1</v>
      </c>
      <c r="B19" s="164" t="s">
        <v>218</v>
      </c>
      <c r="C19" s="174">
        <v>1</v>
      </c>
      <c r="D19" s="177">
        <f>E19+F19+G19</f>
        <v>56496.330531</v>
      </c>
      <c r="E19" s="175">
        <v>38805.09</v>
      </c>
      <c r="F19" s="177"/>
      <c r="G19" s="177">
        <f>E19*45.59%</f>
        <v>17691.240531</v>
      </c>
      <c r="H19" s="177"/>
      <c r="I19" s="177"/>
      <c r="J19" s="177">
        <f>C19*D19*12</f>
        <v>677955.966372</v>
      </c>
    </row>
    <row r="20" spans="1:10" ht="32.25" thickBot="1">
      <c r="A20" s="128">
        <v>2</v>
      </c>
      <c r="B20" s="165" t="s">
        <v>219</v>
      </c>
      <c r="C20" s="174">
        <v>2</v>
      </c>
      <c r="D20" s="177">
        <f aca="true" t="shared" si="0" ref="D20:D43">E20+F20+G20</f>
        <v>39547.427004000005</v>
      </c>
      <c r="E20" s="175">
        <v>27163.56</v>
      </c>
      <c r="F20" s="177"/>
      <c r="G20" s="177">
        <f>E20*45.59%</f>
        <v>12383.867004000002</v>
      </c>
      <c r="H20" s="177"/>
      <c r="I20" s="177"/>
      <c r="J20" s="177">
        <f aca="true" t="shared" si="1" ref="J20:J44">C20*D20*12</f>
        <v>949138.2480960002</v>
      </c>
    </row>
    <row r="21" spans="1:10" ht="16.5" thickBot="1">
      <c r="A21" s="128">
        <v>3</v>
      </c>
      <c r="B21" s="166" t="s">
        <v>158</v>
      </c>
      <c r="C21" s="174">
        <v>1</v>
      </c>
      <c r="D21" s="177">
        <f t="shared" si="0"/>
        <v>39547.427004000005</v>
      </c>
      <c r="E21" s="175">
        <v>27163.56</v>
      </c>
      <c r="F21" s="177"/>
      <c r="G21" s="177">
        <f>E21*45.59%</f>
        <v>12383.867004000002</v>
      </c>
      <c r="H21" s="177"/>
      <c r="I21" s="177"/>
      <c r="J21" s="177">
        <f t="shared" si="1"/>
        <v>474569.1240480001</v>
      </c>
    </row>
    <row r="22" spans="1:10" ht="16.5" thickBot="1">
      <c r="A22" s="128">
        <v>4</v>
      </c>
      <c r="B22" s="166" t="s">
        <v>220</v>
      </c>
      <c r="C22" s="174">
        <v>2</v>
      </c>
      <c r="D22" s="177">
        <f t="shared" si="0"/>
        <v>9477.9776</v>
      </c>
      <c r="E22" s="175">
        <v>5356</v>
      </c>
      <c r="F22" s="177"/>
      <c r="G22" s="177">
        <f>E22*76.96%</f>
        <v>4121.9776</v>
      </c>
      <c r="H22" s="177"/>
      <c r="I22" s="177"/>
      <c r="J22" s="177">
        <f t="shared" si="1"/>
        <v>227471.46240000002</v>
      </c>
    </row>
    <row r="23" spans="1:10" ht="16.5" thickBot="1">
      <c r="A23" s="128">
        <v>5</v>
      </c>
      <c r="B23" s="169" t="s">
        <v>221</v>
      </c>
      <c r="C23" s="174">
        <v>1</v>
      </c>
      <c r="D23" s="177">
        <f t="shared" si="0"/>
        <v>9472.6688</v>
      </c>
      <c r="E23" s="175">
        <v>5353</v>
      </c>
      <c r="F23" s="177"/>
      <c r="G23" s="177">
        <f aca="true" t="shared" si="2" ref="G23:G30">E23*76.96%</f>
        <v>4119.6687999999995</v>
      </c>
      <c r="H23" s="177"/>
      <c r="I23" s="177"/>
      <c r="J23" s="177">
        <f t="shared" si="1"/>
        <v>113672.0256</v>
      </c>
    </row>
    <row r="24" spans="1:10" ht="16.5" thickBot="1">
      <c r="A24" s="128">
        <v>6</v>
      </c>
      <c r="B24" s="170" t="s">
        <v>222</v>
      </c>
      <c r="C24" s="174">
        <v>1</v>
      </c>
      <c r="D24" s="177">
        <f t="shared" si="0"/>
        <v>7401.7008000000005</v>
      </c>
      <c r="E24" s="175">
        <v>4446</v>
      </c>
      <c r="F24" s="177"/>
      <c r="G24" s="177">
        <f>E24*66.48%</f>
        <v>2955.7008</v>
      </c>
      <c r="H24" s="177"/>
      <c r="I24" s="177"/>
      <c r="J24" s="177">
        <f t="shared" si="1"/>
        <v>88820.40960000001</v>
      </c>
    </row>
    <row r="25" spans="1:10" ht="16.5" thickBot="1">
      <c r="A25" s="128">
        <v>7</v>
      </c>
      <c r="B25" s="166" t="s">
        <v>223</v>
      </c>
      <c r="C25" s="174">
        <v>1</v>
      </c>
      <c r="D25" s="177">
        <f t="shared" si="0"/>
        <v>8577.251199999999</v>
      </c>
      <c r="E25" s="175">
        <v>4847</v>
      </c>
      <c r="F25" s="177"/>
      <c r="G25" s="177">
        <f t="shared" si="2"/>
        <v>3730.2511999999997</v>
      </c>
      <c r="H25" s="177"/>
      <c r="I25" s="177"/>
      <c r="J25" s="177">
        <f t="shared" si="1"/>
        <v>102927.01439999999</v>
      </c>
    </row>
    <row r="26" spans="1:10" ht="32.25" thickBot="1">
      <c r="A26" s="128">
        <v>8</v>
      </c>
      <c r="B26" s="166" t="s">
        <v>224</v>
      </c>
      <c r="C26" s="174">
        <v>1</v>
      </c>
      <c r="D26" s="177">
        <f t="shared" si="0"/>
        <v>7867.6416</v>
      </c>
      <c r="E26" s="175">
        <v>4446</v>
      </c>
      <c r="F26" s="177"/>
      <c r="G26" s="177">
        <f t="shared" si="2"/>
        <v>3421.6416</v>
      </c>
      <c r="H26" s="177"/>
      <c r="I26" s="177"/>
      <c r="J26" s="177">
        <f t="shared" si="1"/>
        <v>94411.6992</v>
      </c>
    </row>
    <row r="27" spans="1:10" ht="32.25" thickBot="1">
      <c r="A27" s="128">
        <v>9</v>
      </c>
      <c r="B27" s="166" t="s">
        <v>225</v>
      </c>
      <c r="C27" s="174">
        <v>1</v>
      </c>
      <c r="D27" s="177">
        <f t="shared" si="0"/>
        <v>9918.608</v>
      </c>
      <c r="E27" s="175">
        <v>5605</v>
      </c>
      <c r="F27" s="177"/>
      <c r="G27" s="177">
        <f t="shared" si="2"/>
        <v>4313.608</v>
      </c>
      <c r="H27" s="177"/>
      <c r="I27" s="177"/>
      <c r="J27" s="177">
        <f t="shared" si="1"/>
        <v>119023.296</v>
      </c>
    </row>
    <row r="28" spans="1:10" ht="32.25" thickBot="1">
      <c r="A28" s="128">
        <v>10</v>
      </c>
      <c r="B28" s="166" t="s">
        <v>226</v>
      </c>
      <c r="C28" s="174">
        <v>1</v>
      </c>
      <c r="D28" s="177">
        <f t="shared" si="0"/>
        <v>8577.251199999999</v>
      </c>
      <c r="E28" s="175">
        <v>4847</v>
      </c>
      <c r="F28" s="177"/>
      <c r="G28" s="177">
        <f t="shared" si="2"/>
        <v>3730.2511999999997</v>
      </c>
      <c r="H28" s="177"/>
      <c r="I28" s="177"/>
      <c r="J28" s="177">
        <f t="shared" si="1"/>
        <v>102927.01439999999</v>
      </c>
    </row>
    <row r="29" spans="1:10" ht="16.5" thickBot="1">
      <c r="A29" s="128">
        <v>11</v>
      </c>
      <c r="B29" s="171" t="s">
        <v>227</v>
      </c>
      <c r="C29" s="174">
        <v>0.5</v>
      </c>
      <c r="D29" s="177">
        <f t="shared" si="0"/>
        <v>9037.3472</v>
      </c>
      <c r="E29" s="175">
        <v>5107</v>
      </c>
      <c r="F29" s="177"/>
      <c r="G29" s="177">
        <f t="shared" si="2"/>
        <v>3930.3471999999997</v>
      </c>
      <c r="H29" s="177"/>
      <c r="I29" s="177"/>
      <c r="J29" s="177">
        <f t="shared" si="1"/>
        <v>54224.0832</v>
      </c>
    </row>
    <row r="30" spans="1:10" ht="16.5" thickBot="1">
      <c r="A30" s="128">
        <v>12</v>
      </c>
      <c r="B30" s="166" t="s">
        <v>228</v>
      </c>
      <c r="C30" s="174">
        <v>0.5</v>
      </c>
      <c r="D30" s="177">
        <f t="shared" si="0"/>
        <v>8225.1008</v>
      </c>
      <c r="E30" s="175">
        <v>4648</v>
      </c>
      <c r="F30" s="177"/>
      <c r="G30" s="177">
        <f t="shared" si="2"/>
        <v>3577.1007999999997</v>
      </c>
      <c r="H30" s="177"/>
      <c r="I30" s="177"/>
      <c r="J30" s="177">
        <f t="shared" si="1"/>
        <v>49350.6048</v>
      </c>
    </row>
    <row r="31" spans="1:10" ht="32.25" thickBot="1">
      <c r="A31" s="128">
        <v>13</v>
      </c>
      <c r="B31" s="166" t="s">
        <v>229</v>
      </c>
      <c r="C31" s="174">
        <v>11.5</v>
      </c>
      <c r="D31" s="177">
        <f t="shared" si="0"/>
        <v>11459.2335</v>
      </c>
      <c r="E31" s="175">
        <v>6515</v>
      </c>
      <c r="F31" s="178"/>
      <c r="G31" s="177">
        <f>E31*75.89%</f>
        <v>4944.2335</v>
      </c>
      <c r="H31" s="178"/>
      <c r="I31" s="178"/>
      <c r="J31" s="177">
        <f t="shared" si="1"/>
        <v>1581374.2230000002</v>
      </c>
    </row>
    <row r="32" spans="1:10" ht="32.25" thickBot="1">
      <c r="A32" s="128">
        <v>14</v>
      </c>
      <c r="B32" s="172" t="s">
        <v>230</v>
      </c>
      <c r="C32" s="174">
        <v>6</v>
      </c>
      <c r="D32" s="177">
        <f t="shared" si="0"/>
        <v>20407.9912</v>
      </c>
      <c r="E32" s="175">
        <v>6194</v>
      </c>
      <c r="F32" s="178"/>
      <c r="G32" s="177">
        <f>E32*229.48%</f>
        <v>14213.9912</v>
      </c>
      <c r="H32" s="178"/>
      <c r="I32" s="178"/>
      <c r="J32" s="177">
        <f t="shared" si="1"/>
        <v>1469375.3664</v>
      </c>
    </row>
    <row r="33" spans="1:10" ht="63.75" thickBot="1">
      <c r="A33" s="128">
        <v>15</v>
      </c>
      <c r="B33" s="166" t="s">
        <v>231</v>
      </c>
      <c r="C33" s="174">
        <v>2</v>
      </c>
      <c r="D33" s="177">
        <f t="shared" si="0"/>
        <v>20407.9912</v>
      </c>
      <c r="E33" s="175">
        <v>6194</v>
      </c>
      <c r="F33" s="178"/>
      <c r="G33" s="177">
        <f>E33*229.48%</f>
        <v>14213.9912</v>
      </c>
      <c r="H33" s="178"/>
      <c r="I33" s="178"/>
      <c r="J33" s="177">
        <f t="shared" si="1"/>
        <v>489791.7888</v>
      </c>
    </row>
    <row r="34" spans="1:10" ht="32.25" thickBot="1">
      <c r="A34" s="128">
        <v>16</v>
      </c>
      <c r="B34" s="173" t="s">
        <v>232</v>
      </c>
      <c r="C34" s="174">
        <v>88.25</v>
      </c>
      <c r="D34" s="177">
        <f t="shared" si="0"/>
        <v>14050.6074</v>
      </c>
      <c r="E34" s="175">
        <v>4929</v>
      </c>
      <c r="F34" s="178"/>
      <c r="G34" s="177">
        <f>E34*185.06%</f>
        <v>9121.6074</v>
      </c>
      <c r="H34" s="178"/>
      <c r="I34" s="178"/>
      <c r="J34" s="177">
        <f>C34*D34*12-0.22</f>
        <v>14879593.0166</v>
      </c>
    </row>
    <row r="35" spans="1:10" ht="32.25" thickBot="1">
      <c r="A35" s="128">
        <v>17</v>
      </c>
      <c r="B35" s="166" t="s">
        <v>233</v>
      </c>
      <c r="C35" s="174">
        <v>14.5</v>
      </c>
      <c r="D35" s="177">
        <f t="shared" si="0"/>
        <v>9472.6688</v>
      </c>
      <c r="E35" s="175">
        <v>5353</v>
      </c>
      <c r="F35" s="178"/>
      <c r="G35" s="177">
        <f>E35*76.96%</f>
        <v>4119.6687999999995</v>
      </c>
      <c r="H35" s="178"/>
      <c r="I35" s="178"/>
      <c r="J35" s="177">
        <f t="shared" si="1"/>
        <v>1648244.3712</v>
      </c>
    </row>
    <row r="36" spans="1:10" ht="16.5" thickBot="1">
      <c r="A36" s="128">
        <v>18</v>
      </c>
      <c r="B36" s="166" t="s">
        <v>223</v>
      </c>
      <c r="C36" s="174">
        <v>0.75</v>
      </c>
      <c r="D36" s="177">
        <f t="shared" si="0"/>
        <v>8577.251199999999</v>
      </c>
      <c r="E36" s="175">
        <v>4847</v>
      </c>
      <c r="F36" s="178"/>
      <c r="G36" s="177">
        <f>E36*76.96%</f>
        <v>3730.2511999999997</v>
      </c>
      <c r="H36" s="178"/>
      <c r="I36" s="178"/>
      <c r="J36" s="177">
        <f t="shared" si="1"/>
        <v>77195.26079999999</v>
      </c>
    </row>
    <row r="37" spans="1:10" ht="16.5" thickBot="1">
      <c r="A37" s="128">
        <v>19</v>
      </c>
      <c r="B37" s="166" t="s">
        <v>234</v>
      </c>
      <c r="C37" s="174">
        <v>1.5</v>
      </c>
      <c r="D37" s="177">
        <f t="shared" si="0"/>
        <v>9472.6688</v>
      </c>
      <c r="E37" s="175">
        <v>5353</v>
      </c>
      <c r="F37" s="178"/>
      <c r="G37" s="177">
        <f>E37*76.96%</f>
        <v>4119.6687999999995</v>
      </c>
      <c r="H37" s="178"/>
      <c r="I37" s="178"/>
      <c r="J37" s="177">
        <f t="shared" si="1"/>
        <v>170508.0384</v>
      </c>
    </row>
    <row r="38" spans="1:10" ht="16.5" thickBot="1">
      <c r="A38" s="128">
        <v>20</v>
      </c>
      <c r="B38" s="166" t="s">
        <v>235</v>
      </c>
      <c r="C38" s="174">
        <v>2</v>
      </c>
      <c r="D38" s="177">
        <f t="shared" si="0"/>
        <v>9309.944</v>
      </c>
      <c r="E38" s="175">
        <v>4648</v>
      </c>
      <c r="F38" s="177">
        <f aca="true" t="shared" si="3" ref="F38:F43">E38*21.7%</f>
        <v>1008.616</v>
      </c>
      <c r="G38" s="177">
        <f aca="true" t="shared" si="4" ref="G38:G43">E38*78.6%</f>
        <v>3653.3279999999995</v>
      </c>
      <c r="H38" s="178"/>
      <c r="I38" s="178"/>
      <c r="J38" s="177">
        <f t="shared" si="1"/>
        <v>223438.656</v>
      </c>
    </row>
    <row r="39" spans="1:10" ht="48" thickBot="1">
      <c r="A39" s="128">
        <v>21</v>
      </c>
      <c r="B39" s="172" t="s">
        <v>236</v>
      </c>
      <c r="C39" s="174">
        <v>1.5</v>
      </c>
      <c r="D39" s="177">
        <f t="shared" si="0"/>
        <v>8560.822</v>
      </c>
      <c r="E39" s="175">
        <v>4274</v>
      </c>
      <c r="F39" s="177">
        <f t="shared" si="3"/>
        <v>927.458</v>
      </c>
      <c r="G39" s="177">
        <f t="shared" si="4"/>
        <v>3359.3639999999996</v>
      </c>
      <c r="H39" s="178"/>
      <c r="I39" s="178"/>
      <c r="J39" s="177">
        <f t="shared" si="1"/>
        <v>154094.796</v>
      </c>
    </row>
    <row r="40" spans="1:10" ht="16.5" thickBot="1">
      <c r="A40" s="128">
        <v>22</v>
      </c>
      <c r="B40" s="166" t="s">
        <v>237</v>
      </c>
      <c r="C40" s="174">
        <v>4</v>
      </c>
      <c r="D40" s="177">
        <f t="shared" si="0"/>
        <v>8560.822</v>
      </c>
      <c r="E40" s="175">
        <v>4274</v>
      </c>
      <c r="F40" s="177">
        <f t="shared" si="3"/>
        <v>927.458</v>
      </c>
      <c r="G40" s="177">
        <f t="shared" si="4"/>
        <v>3359.3639999999996</v>
      </c>
      <c r="H40" s="178"/>
      <c r="I40" s="178"/>
      <c r="J40" s="177">
        <f t="shared" si="1"/>
        <v>410919.456</v>
      </c>
    </row>
    <row r="41" spans="1:10" ht="48" thickBot="1">
      <c r="A41" s="128">
        <v>23</v>
      </c>
      <c r="B41" s="166" t="s">
        <v>238</v>
      </c>
      <c r="C41" s="174">
        <v>1</v>
      </c>
      <c r="D41" s="177">
        <f t="shared" si="0"/>
        <v>8560.822</v>
      </c>
      <c r="E41" s="175">
        <v>4274</v>
      </c>
      <c r="F41" s="177">
        <f t="shared" si="3"/>
        <v>927.458</v>
      </c>
      <c r="G41" s="177">
        <f t="shared" si="4"/>
        <v>3359.3639999999996</v>
      </c>
      <c r="H41" s="178"/>
      <c r="I41" s="178"/>
      <c r="J41" s="177">
        <f t="shared" si="1"/>
        <v>102729.864</v>
      </c>
    </row>
    <row r="42" spans="1:10" ht="16.5" thickBot="1">
      <c r="A42" s="128">
        <v>24</v>
      </c>
      <c r="B42" s="166" t="s">
        <v>239</v>
      </c>
      <c r="C42" s="174">
        <v>0.5</v>
      </c>
      <c r="D42" s="177">
        <f t="shared" si="0"/>
        <v>8707.041</v>
      </c>
      <c r="E42" s="175">
        <v>4347</v>
      </c>
      <c r="F42" s="177">
        <f t="shared" si="3"/>
        <v>943.299</v>
      </c>
      <c r="G42" s="177">
        <f t="shared" si="4"/>
        <v>3416.7419999999997</v>
      </c>
      <c r="H42" s="178"/>
      <c r="I42" s="178"/>
      <c r="J42" s="177">
        <f t="shared" si="1"/>
        <v>52242.246</v>
      </c>
    </row>
    <row r="43" spans="1:10" ht="16.5" thickBot="1">
      <c r="A43" s="128">
        <v>25</v>
      </c>
      <c r="B43" s="166" t="s">
        <v>240</v>
      </c>
      <c r="C43" s="174">
        <v>3</v>
      </c>
      <c r="D43" s="177">
        <f t="shared" si="0"/>
        <v>8596.876</v>
      </c>
      <c r="E43" s="175">
        <v>4292</v>
      </c>
      <c r="F43" s="177">
        <f t="shared" si="3"/>
        <v>931.364</v>
      </c>
      <c r="G43" s="177">
        <f t="shared" si="4"/>
        <v>3373.5119999999997</v>
      </c>
      <c r="H43" s="178"/>
      <c r="I43" s="178"/>
      <c r="J43" s="177">
        <f t="shared" si="1"/>
        <v>309487.536</v>
      </c>
    </row>
    <row r="44" spans="1:10" ht="16.5" thickBot="1">
      <c r="A44" s="167"/>
      <c r="B44" s="168"/>
      <c r="C44" s="180"/>
      <c r="D44" s="178"/>
      <c r="E44" s="178"/>
      <c r="F44" s="178"/>
      <c r="G44" s="178">
        <f>E44*21.7%</f>
        <v>0</v>
      </c>
      <c r="H44" s="178"/>
      <c r="I44" s="178"/>
      <c r="J44" s="177">
        <f t="shared" si="1"/>
        <v>0</v>
      </c>
    </row>
    <row r="45" spans="1:10" ht="16.5" thickBot="1">
      <c r="A45" s="310" t="s">
        <v>188</v>
      </c>
      <c r="B45" s="311"/>
      <c r="C45" s="180" t="s">
        <v>139</v>
      </c>
      <c r="D45" s="178"/>
      <c r="E45" s="178" t="s">
        <v>139</v>
      </c>
      <c r="F45" s="178" t="s">
        <v>139</v>
      </c>
      <c r="G45" s="178" t="s">
        <v>139</v>
      </c>
      <c r="H45" s="178" t="s">
        <v>139</v>
      </c>
      <c r="I45" s="178" t="s">
        <v>139</v>
      </c>
      <c r="J45" s="178">
        <f>SUM(J19:J44)</f>
        <v>24623485.567316</v>
      </c>
    </row>
    <row r="611" ht="12.75"/>
  </sheetData>
  <sheetProtection/>
  <mergeCells count="19">
    <mergeCell ref="J15:J17"/>
    <mergeCell ref="H1:J1"/>
    <mergeCell ref="G2:J2"/>
    <mergeCell ref="A4:J4"/>
    <mergeCell ref="A5:J5"/>
    <mergeCell ref="A6:J6"/>
    <mergeCell ref="A8:J8"/>
    <mergeCell ref="D16:D17"/>
    <mergeCell ref="E16:G16"/>
    <mergeCell ref="A45:B45"/>
    <mergeCell ref="A10:J10"/>
    <mergeCell ref="A12:J12"/>
    <mergeCell ref="A14:J14"/>
    <mergeCell ref="A15:A17"/>
    <mergeCell ref="B15:B17"/>
    <mergeCell ref="C15:C17"/>
    <mergeCell ref="D15:G15"/>
    <mergeCell ref="H15:H17"/>
    <mergeCell ref="I15:I17"/>
  </mergeCells>
  <hyperlinks>
    <hyperlink ref="A8" location="P611" display="P61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Бычкина</dc:creator>
  <cp:keywords/>
  <dc:description/>
  <cp:lastModifiedBy>VageroM</cp:lastModifiedBy>
  <cp:lastPrinted>2020-02-07T14:00:11Z</cp:lastPrinted>
  <dcterms:created xsi:type="dcterms:W3CDTF">2008-01-17T13:47:43Z</dcterms:created>
  <dcterms:modified xsi:type="dcterms:W3CDTF">2020-02-07T14:23:48Z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